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os\Desktop\Financial Analysis\"/>
    </mc:Choice>
  </mc:AlternateContent>
  <xr:revisionPtr revIDLastSave="0" documentId="13_ncr:1_{3C3B98EA-45F0-4348-BB99-719D576C7F33}" xr6:coauthVersionLast="46" xr6:coauthVersionMax="46" xr10:uidLastSave="{00000000-0000-0000-0000-000000000000}"/>
  <bookViews>
    <workbookView xWindow="-108" yWindow="-108" windowWidth="23256" windowHeight="12576" xr2:uid="{4F8C7846-B4D5-4145-A5FF-3B2D519D0172}"/>
  </bookViews>
  <sheets>
    <sheet name="Main" sheetId="1" r:id="rId1"/>
    <sheet name="Model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13" i="2" l="1"/>
  <c r="U13" i="2"/>
  <c r="X6" i="2"/>
  <c r="W6" i="2"/>
  <c r="V6" i="2"/>
  <c r="U6" i="2"/>
  <c r="T6" i="2"/>
  <c r="S6" i="2"/>
  <c r="L6" i="2"/>
  <c r="S3" i="2"/>
  <c r="L3" i="2"/>
  <c r="K5" i="2"/>
  <c r="R11" i="2"/>
  <c r="R10" i="2"/>
  <c r="R9" i="2"/>
  <c r="R7" i="2"/>
  <c r="K21" i="2"/>
  <c r="H22" i="2"/>
  <c r="G22" i="2"/>
  <c r="F22" i="2"/>
  <c r="E22" i="2"/>
  <c r="D22" i="2"/>
  <c r="C22" i="2"/>
  <c r="H21" i="2"/>
  <c r="G21" i="2"/>
  <c r="F21" i="2"/>
  <c r="E21" i="2"/>
  <c r="H20" i="2"/>
  <c r="G20" i="2"/>
  <c r="F20" i="2"/>
  <c r="E20" i="2"/>
  <c r="D20" i="2"/>
  <c r="C20" i="2"/>
  <c r="H19" i="2"/>
  <c r="G19" i="2"/>
  <c r="F19" i="2"/>
  <c r="E19" i="2"/>
  <c r="D19" i="2"/>
  <c r="C19" i="2"/>
  <c r="H18" i="2"/>
  <c r="G18" i="2"/>
  <c r="F18" i="2"/>
  <c r="E18" i="2"/>
  <c r="F13" i="2"/>
  <c r="F11" i="2"/>
  <c r="F10" i="2"/>
  <c r="F9" i="2"/>
  <c r="F7" i="2"/>
  <c r="F6" i="2"/>
  <c r="F5" i="2"/>
  <c r="F4" i="2"/>
  <c r="F3" i="2"/>
  <c r="D13" i="2"/>
  <c r="D11" i="2"/>
  <c r="D10" i="2"/>
  <c r="D9" i="2"/>
  <c r="D7" i="2"/>
  <c r="D6" i="2"/>
  <c r="D5" i="2"/>
  <c r="D4" i="2"/>
  <c r="D3" i="2"/>
  <c r="C5" i="2"/>
  <c r="C8" i="2" s="1"/>
  <c r="C12" i="2" s="1"/>
  <c r="C14" i="2" s="1"/>
  <c r="C16" i="2" s="1"/>
  <c r="E5" i="2"/>
  <c r="E8" i="2" s="1"/>
  <c r="E12" i="2" s="1"/>
  <c r="E14" i="2" s="1"/>
  <c r="E16" i="2" s="1"/>
  <c r="H13" i="2"/>
  <c r="H11" i="2"/>
  <c r="H10" i="2"/>
  <c r="H9" i="2"/>
  <c r="H7" i="2"/>
  <c r="H6" i="2"/>
  <c r="H4" i="2"/>
  <c r="H3" i="2"/>
  <c r="I21" i="2"/>
  <c r="I18" i="2"/>
  <c r="G5" i="2"/>
  <c r="G8" i="2" s="1"/>
  <c r="G12" i="2" s="1"/>
  <c r="G14" i="2" s="1"/>
  <c r="G16" i="2" s="1"/>
  <c r="J13" i="2"/>
  <c r="J11" i="2"/>
  <c r="J10" i="2"/>
  <c r="J9" i="2"/>
  <c r="J7" i="2"/>
  <c r="J6" i="2"/>
  <c r="J4" i="2"/>
  <c r="J3" i="2"/>
  <c r="I5" i="2"/>
  <c r="I8" i="2" s="1"/>
  <c r="I12" i="2" s="1"/>
  <c r="I14" i="2" s="1"/>
  <c r="I16" i="2" s="1"/>
  <c r="R3" i="2" l="1"/>
  <c r="T3" i="2" s="1"/>
  <c r="L5" i="2"/>
  <c r="K8" i="2"/>
  <c r="K12" i="2" s="1"/>
  <c r="K18" i="2"/>
  <c r="K19" i="2"/>
  <c r="L18" i="2"/>
  <c r="R6" i="2"/>
  <c r="L21" i="2"/>
  <c r="F8" i="2"/>
  <c r="F12" i="2" s="1"/>
  <c r="F14" i="2" s="1"/>
  <c r="F16" i="2" s="1"/>
  <c r="D8" i="2"/>
  <c r="D12" i="2" s="1"/>
  <c r="D14" i="2" s="1"/>
  <c r="D16" i="2" s="1"/>
  <c r="H5" i="2"/>
  <c r="H8" i="2" s="1"/>
  <c r="J21" i="2"/>
  <c r="J18" i="2"/>
  <c r="J5" i="2"/>
  <c r="J19" i="2" s="1"/>
  <c r="I19" i="2"/>
  <c r="I22" i="2"/>
  <c r="I20" i="2"/>
  <c r="K20" i="2" l="1"/>
  <c r="L4" i="2"/>
  <c r="R4" i="2" s="1"/>
  <c r="L19" i="2"/>
  <c r="L8" i="2"/>
  <c r="L20" i="2" s="1"/>
  <c r="K22" i="2"/>
  <c r="H12" i="2"/>
  <c r="H14" i="2" s="1"/>
  <c r="H16" i="2" s="1"/>
  <c r="J8" i="2"/>
  <c r="J20" i="2" s="1"/>
  <c r="L12" i="2" l="1"/>
  <c r="K14" i="2"/>
  <c r="K16" i="2" s="1"/>
  <c r="L13" i="2"/>
  <c r="J12" i="2"/>
  <c r="J14" i="2" s="1"/>
  <c r="J16" i="2" s="1"/>
  <c r="R13" i="2" l="1"/>
  <c r="L22" i="2"/>
  <c r="L14" i="2"/>
  <c r="L16" i="2" s="1"/>
  <c r="J22" i="2"/>
  <c r="F3" i="1" l="1"/>
  <c r="U3" i="2" l="1"/>
  <c r="V3" i="2" s="1"/>
  <c r="AD26" i="2"/>
  <c r="R5" i="2"/>
  <c r="R19" i="2" s="1"/>
  <c r="R21" i="2"/>
  <c r="Q21" i="2"/>
  <c r="P21" i="2"/>
  <c r="O21" i="2"/>
  <c r="R18" i="2"/>
  <c r="Q18" i="2"/>
  <c r="P18" i="2"/>
  <c r="O18" i="2"/>
  <c r="N5" i="2"/>
  <c r="N8" i="2" s="1"/>
  <c r="N12" i="2" s="1"/>
  <c r="N14" i="2" s="1"/>
  <c r="N16" i="2" s="1"/>
  <c r="O5" i="2"/>
  <c r="O8" i="2" s="1"/>
  <c r="O12" i="2" s="1"/>
  <c r="O14" i="2" s="1"/>
  <c r="O16" i="2" s="1"/>
  <c r="P5" i="2"/>
  <c r="P8" i="2" s="1"/>
  <c r="P12" i="2" s="1"/>
  <c r="P14" i="2" s="1"/>
  <c r="P16" i="2" s="1"/>
  <c r="Q5" i="2"/>
  <c r="Q8" i="2" s="1"/>
  <c r="D8" i="1"/>
  <c r="D5" i="1"/>
  <c r="P19" i="2" l="1"/>
  <c r="Q19" i="2"/>
  <c r="P20" i="2"/>
  <c r="Y6" i="2"/>
  <c r="Z6" i="2" s="1"/>
  <c r="AA6" i="2" s="1"/>
  <c r="V21" i="2"/>
  <c r="Q12" i="2"/>
  <c r="Q20" i="2"/>
  <c r="O20" i="2"/>
  <c r="O22" i="2"/>
  <c r="T21" i="2"/>
  <c r="P22" i="2"/>
  <c r="N19" i="2"/>
  <c r="N20" i="2"/>
  <c r="N22" i="2"/>
  <c r="O19" i="2"/>
  <c r="S21" i="2"/>
  <c r="D9" i="1"/>
  <c r="AD23" i="2"/>
  <c r="T18" i="2"/>
  <c r="S18" i="2"/>
  <c r="S5" i="2"/>
  <c r="S8" i="2" s="1"/>
  <c r="R8" i="2"/>
  <c r="U21" i="2"/>
  <c r="X21" i="2" l="1"/>
  <c r="Q14" i="2"/>
  <c r="Q22" i="2"/>
  <c r="S20" i="2"/>
  <c r="S12" i="2"/>
  <c r="S19" i="2"/>
  <c r="T5" i="2"/>
  <c r="R20" i="2"/>
  <c r="R12" i="2"/>
  <c r="S4" i="2"/>
  <c r="W21" i="2"/>
  <c r="Y21" i="2"/>
  <c r="Q16" i="2" l="1"/>
  <c r="T19" i="2"/>
  <c r="T8" i="2"/>
  <c r="T4" i="2"/>
  <c r="S13" i="2"/>
  <c r="S22" i="2" s="1"/>
  <c r="R22" i="2"/>
  <c r="U18" i="2"/>
  <c r="U5" i="2"/>
  <c r="U4" i="2" s="1"/>
  <c r="Z21" i="2"/>
  <c r="AA21" i="2"/>
  <c r="R14" i="2" l="1"/>
  <c r="R16" i="2" s="1"/>
  <c r="T12" i="2"/>
  <c r="T20" i="2"/>
  <c r="S14" i="2"/>
  <c r="W3" i="2"/>
  <c r="V18" i="2"/>
  <c r="V5" i="2"/>
  <c r="V4" i="2" s="1"/>
  <c r="U8" i="2"/>
  <c r="U19" i="2"/>
  <c r="S16" i="2" l="1"/>
  <c r="V8" i="2"/>
  <c r="V19" i="2"/>
  <c r="T13" i="2"/>
  <c r="T22" i="2" s="1"/>
  <c r="U20" i="2"/>
  <c r="U12" i="2"/>
  <c r="W5" i="2"/>
  <c r="X3" i="2"/>
  <c r="Y3" i="2" s="1"/>
  <c r="W18" i="2"/>
  <c r="V20" i="2" l="1"/>
  <c r="V12" i="2"/>
  <c r="X5" i="2"/>
  <c r="X4" i="2" s="1"/>
  <c r="X18" i="2"/>
  <c r="W8" i="2"/>
  <c r="W20" i="2" s="1"/>
  <c r="W4" i="2"/>
  <c r="W19" i="2"/>
  <c r="U22" i="2"/>
  <c r="T14" i="2"/>
  <c r="T16" i="2" l="1"/>
  <c r="X8" i="2"/>
  <c r="X19" i="2"/>
  <c r="U14" i="2"/>
  <c r="Y18" i="2"/>
  <c r="Y5" i="2"/>
  <c r="Z3" i="2"/>
  <c r="V14" i="2"/>
  <c r="U16" i="2" l="1"/>
  <c r="V16" i="2"/>
  <c r="W9" i="2"/>
  <c r="W12" i="2" s="1"/>
  <c r="W13" i="2" s="1"/>
  <c r="V22" i="2"/>
  <c r="Z18" i="2"/>
  <c r="Z5" i="2"/>
  <c r="Z4" i="2" s="1"/>
  <c r="AA3" i="2"/>
  <c r="Y4" i="2"/>
  <c r="Y8" i="2"/>
  <c r="Y19" i="2"/>
  <c r="X20" i="2"/>
  <c r="Z19" i="2" l="1"/>
  <c r="Z8" i="2"/>
  <c r="W22" i="2"/>
  <c r="AA18" i="2"/>
  <c r="AA5" i="2"/>
  <c r="Y20" i="2"/>
  <c r="W14" i="2" l="1"/>
  <c r="X9" i="2" s="1"/>
  <c r="X12" i="2" s="1"/>
  <c r="Z20" i="2"/>
  <c r="AA4" i="2"/>
  <c r="AA19" i="2"/>
  <c r="AA8" i="2"/>
  <c r="AA20" i="2" s="1"/>
  <c r="W16" i="2" l="1"/>
  <c r="X13" i="2"/>
  <c r="X22" i="2" s="1"/>
  <c r="X14" i="2" l="1"/>
  <c r="Y9" i="2" s="1"/>
  <c r="Y12" i="2" s="1"/>
  <c r="X16" i="2" l="1"/>
  <c r="Y13" i="2"/>
  <c r="Y22" i="2" s="1"/>
  <c r="Y14" i="2" l="1"/>
  <c r="Z9" i="2" s="1"/>
  <c r="Z12" i="2" s="1"/>
  <c r="Y16" i="2" l="1"/>
  <c r="Z13" i="2"/>
  <c r="Z22" i="2" s="1"/>
  <c r="Z14" i="2" l="1"/>
  <c r="Z16" i="2" s="1"/>
  <c r="AA9" i="2" l="1"/>
  <c r="AA12" i="2" s="1"/>
  <c r="AA13" i="2" s="1"/>
  <c r="AA22" i="2" s="1"/>
  <c r="AA14" i="2" l="1"/>
  <c r="AA16" i="2" s="1"/>
  <c r="AB14" i="2" l="1"/>
  <c r="AC14" i="2" s="1"/>
  <c r="AD14" i="2" s="1"/>
  <c r="AE14" i="2" s="1"/>
  <c r="AF14" i="2" s="1"/>
  <c r="AG14" i="2" s="1"/>
  <c r="AH14" i="2" s="1"/>
  <c r="AI14" i="2" s="1"/>
  <c r="AJ14" i="2" s="1"/>
  <c r="AK14" i="2" s="1"/>
  <c r="AL14" i="2" s="1"/>
  <c r="AM14" i="2" s="1"/>
  <c r="AN14" i="2" s="1"/>
  <c r="AO14" i="2" s="1"/>
  <c r="AP14" i="2" s="1"/>
  <c r="AQ14" i="2" s="1"/>
  <c r="AR14" i="2" s="1"/>
  <c r="AS14" i="2" s="1"/>
  <c r="AT14" i="2" s="1"/>
  <c r="AU14" i="2" s="1"/>
  <c r="AV14" i="2" s="1"/>
  <c r="AW14" i="2" s="1"/>
  <c r="AX14" i="2" s="1"/>
  <c r="AY14" i="2" s="1"/>
  <c r="AZ14" i="2" s="1"/>
  <c r="BA14" i="2" s="1"/>
  <c r="BB14" i="2" s="1"/>
  <c r="BC14" i="2" s="1"/>
  <c r="BD14" i="2" s="1"/>
  <c r="BE14" i="2" s="1"/>
  <c r="BF14" i="2" s="1"/>
  <c r="BG14" i="2" s="1"/>
  <c r="BH14" i="2" s="1"/>
  <c r="BI14" i="2" s="1"/>
  <c r="BJ14" i="2" s="1"/>
  <c r="BK14" i="2" s="1"/>
  <c r="BL14" i="2" s="1"/>
  <c r="BM14" i="2" s="1"/>
  <c r="BN14" i="2" s="1"/>
  <c r="BO14" i="2" s="1"/>
  <c r="BP14" i="2" s="1"/>
  <c r="BQ14" i="2" s="1"/>
  <c r="BR14" i="2" s="1"/>
  <c r="BS14" i="2" s="1"/>
  <c r="BT14" i="2" s="1"/>
  <c r="BU14" i="2" s="1"/>
  <c r="BV14" i="2" s="1"/>
  <c r="BW14" i="2" s="1"/>
  <c r="BX14" i="2" s="1"/>
  <c r="BY14" i="2" s="1"/>
  <c r="BZ14" i="2" s="1"/>
  <c r="CA14" i="2" s="1"/>
  <c r="CB14" i="2" s="1"/>
  <c r="CC14" i="2" s="1"/>
  <c r="CD14" i="2" s="1"/>
  <c r="CE14" i="2" s="1"/>
  <c r="CF14" i="2" s="1"/>
  <c r="CG14" i="2" s="1"/>
  <c r="CH14" i="2" s="1"/>
  <c r="CI14" i="2" s="1"/>
  <c r="CJ14" i="2" s="1"/>
  <c r="CK14" i="2" s="1"/>
  <c r="CL14" i="2" s="1"/>
  <c r="CM14" i="2" s="1"/>
  <c r="CN14" i="2" s="1"/>
  <c r="CO14" i="2" s="1"/>
  <c r="CP14" i="2" s="1"/>
  <c r="CQ14" i="2" s="1"/>
  <c r="CR14" i="2" s="1"/>
  <c r="CS14" i="2" s="1"/>
  <c r="CT14" i="2" s="1"/>
  <c r="CU14" i="2" s="1"/>
  <c r="CV14" i="2" s="1"/>
  <c r="CW14" i="2" s="1"/>
  <c r="CX14" i="2" s="1"/>
  <c r="CY14" i="2" s="1"/>
  <c r="CZ14" i="2" s="1"/>
  <c r="DA14" i="2" s="1"/>
  <c r="DB14" i="2" s="1"/>
  <c r="DC14" i="2" s="1"/>
  <c r="DD14" i="2" s="1"/>
  <c r="DE14" i="2" s="1"/>
  <c r="DF14" i="2" s="1"/>
  <c r="DG14" i="2" s="1"/>
  <c r="DH14" i="2" s="1"/>
  <c r="DI14" i="2" s="1"/>
  <c r="DJ14" i="2" s="1"/>
  <c r="DK14" i="2" s="1"/>
  <c r="DL14" i="2" s="1"/>
  <c r="DM14" i="2" s="1"/>
  <c r="DN14" i="2" s="1"/>
  <c r="DO14" i="2" s="1"/>
  <c r="DP14" i="2" s="1"/>
  <c r="DQ14" i="2" s="1"/>
  <c r="DR14" i="2" s="1"/>
  <c r="DS14" i="2" s="1"/>
  <c r="DT14" i="2" s="1"/>
  <c r="DU14" i="2" s="1"/>
  <c r="DV14" i="2" s="1"/>
  <c r="DW14" i="2" s="1"/>
  <c r="DX14" i="2" s="1"/>
  <c r="DY14" i="2" s="1"/>
  <c r="DZ14" i="2" s="1"/>
  <c r="EA14" i="2" s="1"/>
  <c r="EB14" i="2" s="1"/>
  <c r="EC14" i="2" s="1"/>
  <c r="ED14" i="2" s="1"/>
  <c r="EE14" i="2" s="1"/>
  <c r="EF14" i="2" s="1"/>
  <c r="EG14" i="2" s="1"/>
  <c r="EH14" i="2" s="1"/>
  <c r="EI14" i="2" s="1"/>
  <c r="EJ14" i="2" s="1"/>
  <c r="EK14" i="2" s="1"/>
  <c r="EL14" i="2" s="1"/>
  <c r="EM14" i="2" s="1"/>
  <c r="EN14" i="2" s="1"/>
  <c r="EO14" i="2" s="1"/>
  <c r="EP14" i="2" s="1"/>
  <c r="EQ14" i="2" s="1"/>
  <c r="ER14" i="2" s="1"/>
  <c r="ES14" i="2" s="1"/>
  <c r="ET14" i="2" s="1"/>
  <c r="EU14" i="2" s="1"/>
  <c r="EV14" i="2" s="1"/>
  <c r="EW14" i="2" s="1"/>
  <c r="EX14" i="2" s="1"/>
  <c r="EY14" i="2" s="1"/>
  <c r="AD22" i="2" l="1"/>
  <c r="AD24" i="2" s="1"/>
  <c r="AD25" i="2" s="1"/>
  <c r="AD27" i="2" s="1"/>
</calcChain>
</file>

<file path=xl/sharedStrings.xml><?xml version="1.0" encoding="utf-8"?>
<sst xmlns="http://schemas.openxmlformats.org/spreadsheetml/2006/main" count="54" uniqueCount="49">
  <si>
    <t>GFIN</t>
  </si>
  <si>
    <t>Price</t>
  </si>
  <si>
    <t>Shares</t>
  </si>
  <si>
    <t>MC</t>
  </si>
  <si>
    <t>Cash</t>
  </si>
  <si>
    <t>Debt</t>
  </si>
  <si>
    <t>Net Cash</t>
  </si>
  <si>
    <t>EV</t>
  </si>
  <si>
    <t>Revenue</t>
  </si>
  <si>
    <t>Cost of sales</t>
  </si>
  <si>
    <t>Gross profit</t>
  </si>
  <si>
    <t>Adminstrative expenses</t>
  </si>
  <si>
    <t>Other income</t>
  </si>
  <si>
    <t>Operating profit</t>
  </si>
  <si>
    <t>Finance income</t>
  </si>
  <si>
    <t>Finance costs</t>
  </si>
  <si>
    <t>Pretax profit</t>
  </si>
  <si>
    <t>Taxes</t>
  </si>
  <si>
    <t>Net profit</t>
  </si>
  <si>
    <t>EPS</t>
  </si>
  <si>
    <t>Gross Margin</t>
  </si>
  <si>
    <t>Revenue y/y</t>
  </si>
  <si>
    <t>Operating Margin</t>
  </si>
  <si>
    <t>Administrative y/y</t>
  </si>
  <si>
    <t>Maturity</t>
  </si>
  <si>
    <t>Discount rate</t>
  </si>
  <si>
    <t>NPV</t>
  </si>
  <si>
    <t>Value</t>
  </si>
  <si>
    <t>Net cash</t>
  </si>
  <si>
    <t>Per share</t>
  </si>
  <si>
    <t>Current price</t>
  </si>
  <si>
    <t>Variance</t>
  </si>
  <si>
    <t>Consensus</t>
  </si>
  <si>
    <t>Time last checked</t>
  </si>
  <si>
    <t>Today</t>
  </si>
  <si>
    <t>Earnings</t>
  </si>
  <si>
    <t>H219</t>
  </si>
  <si>
    <t>H120</t>
  </si>
  <si>
    <t>H220</t>
  </si>
  <si>
    <t>H119</t>
  </si>
  <si>
    <t>Share of associate</t>
  </si>
  <si>
    <t>H121</t>
  </si>
  <si>
    <t>H221</t>
  </si>
  <si>
    <t>H218</t>
  </si>
  <si>
    <t>H117</t>
  </si>
  <si>
    <t>H217</t>
  </si>
  <si>
    <t>H118</t>
  </si>
  <si>
    <t>Heavily undervalued</t>
  </si>
  <si>
    <t>August?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</si>
</sst>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£&quot;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3" fontId="0" fillId="0" borderId="0" xfId="0" applyNumberFormat="1"/>
    <xf numFmtId="164" fontId="0" fillId="0" borderId="0" xfId="0" applyNumberFormat="1"/>
    <xf numFmtId="14" fontId="0" fillId="0" borderId="0" xfId="0" applyNumberFormat="1"/>
    <xf numFmtId="0" fontId="0" fillId="0" borderId="0" xfId="0" applyFont="1"/>
    <xf numFmtId="4" fontId="1" fillId="0" borderId="0" xfId="0" applyNumberFormat="1" applyFont="1"/>
    <xf numFmtId="3" fontId="1" fillId="0" borderId="0" xfId="0" applyNumberFormat="1" applyFont="1"/>
    <xf numFmtId="9" fontId="0" fillId="0" borderId="0" xfId="0" applyNumberFormat="1"/>
    <xf numFmtId="9" fontId="1" fillId="0" borderId="0" xfId="0" applyNumberFormat="1" applyFont="1"/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14" fontId="2" fillId="0" borderId="0" xfId="0" applyNumberFormat="1" applyFont="1" applyAlignment="1">
      <alignment horizontal="right"/>
    </xf>
    <xf numFmtId="3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30480</xdr:colOff>
      <xdr:row>0</xdr:row>
      <xdr:rowOff>7620</xdr:rowOff>
    </xdr:from>
    <xdr:to>
      <xdr:col>11</xdr:col>
      <xdr:colOff>30480</xdr:colOff>
      <xdr:row>33</xdr:row>
      <xdr:rowOff>99060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F5EA04BF-DFBD-40E5-A209-7A83C530A0E5}"/>
            </a:ext>
          </a:extLst>
        </xdr:cNvPr>
        <xdr:cNvCxnSpPr/>
      </xdr:nvCxnSpPr>
      <xdr:spPr>
        <a:xfrm>
          <a:off x="8549640" y="7620"/>
          <a:ext cx="0" cy="612648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38100</xdr:colOff>
      <xdr:row>0</xdr:row>
      <xdr:rowOff>0</xdr:rowOff>
    </xdr:from>
    <xdr:to>
      <xdr:col>17</xdr:col>
      <xdr:colOff>38100</xdr:colOff>
      <xdr:row>33</xdr:row>
      <xdr:rowOff>91440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F713ED80-28D6-49A4-9A81-5CFBC1807FB2}"/>
            </a:ext>
          </a:extLst>
        </xdr:cNvPr>
        <xdr:cNvCxnSpPr/>
      </xdr:nvCxnSpPr>
      <xdr:spPr>
        <a:xfrm>
          <a:off x="12443460" y="0"/>
          <a:ext cx="0" cy="612648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2ACE6-A91E-494D-9C51-5BF50E0E9321}">
  <dimension ref="B2:G9"/>
  <sheetViews>
    <sheetView tabSelected="1" workbookViewId="0">
      <selection activeCell="G4" sqref="G4"/>
    </sheetView>
  </sheetViews>
  <sheetFormatPr defaultRowHeight="14.4" x14ac:dyDescent="0.3"/>
  <cols>
    <col min="5" max="7" width="15.77734375" style="11" customWidth="1"/>
  </cols>
  <sheetData>
    <row r="2" spans="2:7" x14ac:dyDescent="0.3">
      <c r="E2" s="11" t="s">
        <v>33</v>
      </c>
      <c r="F2" s="11" t="s">
        <v>34</v>
      </c>
      <c r="G2" s="11" t="s">
        <v>35</v>
      </c>
    </row>
    <row r="3" spans="2:7" x14ac:dyDescent="0.3">
      <c r="B3" s="1" t="s">
        <v>0</v>
      </c>
      <c r="C3" t="s">
        <v>1</v>
      </c>
      <c r="D3" s="3">
        <v>4.6100000000000002E-2</v>
      </c>
      <c r="E3" s="12">
        <v>44286</v>
      </c>
      <c r="F3" s="12">
        <f ca="1">TODAY()</f>
        <v>44328</v>
      </c>
      <c r="G3" s="12" t="s">
        <v>48</v>
      </c>
    </row>
    <row r="4" spans="2:7" x14ac:dyDescent="0.3">
      <c r="C4" t="s">
        <v>2</v>
      </c>
      <c r="D4" s="2">
        <v>767.3</v>
      </c>
      <c r="E4" s="11" t="s">
        <v>41</v>
      </c>
    </row>
    <row r="5" spans="2:7" x14ac:dyDescent="0.3">
      <c r="C5" t="s">
        <v>3</v>
      </c>
      <c r="D5" s="2">
        <f>D3*D4</f>
        <v>35.372529999999998</v>
      </c>
    </row>
    <row r="6" spans="2:7" x14ac:dyDescent="0.3">
      <c r="C6" t="s">
        <v>4</v>
      </c>
      <c r="D6" s="2">
        <v>1.8</v>
      </c>
      <c r="E6" s="11" t="s">
        <v>41</v>
      </c>
    </row>
    <row r="7" spans="2:7" x14ac:dyDescent="0.3">
      <c r="C7" t="s">
        <v>5</v>
      </c>
      <c r="D7" s="2">
        <v>0</v>
      </c>
      <c r="E7" s="11" t="s">
        <v>41</v>
      </c>
    </row>
    <row r="8" spans="2:7" x14ac:dyDescent="0.3">
      <c r="C8" t="s">
        <v>6</v>
      </c>
      <c r="D8" s="2">
        <f>D6-D7</f>
        <v>1.8</v>
      </c>
    </row>
    <row r="9" spans="2:7" x14ac:dyDescent="0.3">
      <c r="C9" t="s">
        <v>7</v>
      </c>
      <c r="D9" s="2">
        <f>D5-D8</f>
        <v>33.57253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4E652-15F4-4F19-999B-7B1080667CF1}">
  <dimension ref="B1:EY28"/>
  <sheetViews>
    <sheetView workbookViewId="0">
      <pane xSplit="2" ySplit="2" topLeftCell="O3" activePane="bottomRight" state="frozen"/>
      <selection pane="topRight" activeCell="C1" sqref="C1"/>
      <selection pane="bottomLeft" activeCell="A3" sqref="A3"/>
      <selection pane="bottomRight" activeCell="W3" sqref="W3"/>
    </sheetView>
  </sheetViews>
  <sheetFormatPr defaultRowHeight="14.4" x14ac:dyDescent="0.3"/>
  <cols>
    <col min="2" max="2" width="20.33203125" bestFit="1" customWidth="1"/>
    <col min="3" max="13" width="10.5546875" customWidth="1"/>
    <col min="14" max="17" width="8.88671875" customWidth="1"/>
    <col min="29" max="29" width="11.88671875" bestFit="1" customWidth="1"/>
    <col min="30" max="30" width="17.33203125" bestFit="1" customWidth="1"/>
  </cols>
  <sheetData>
    <row r="1" spans="2:155" x14ac:dyDescent="0.3">
      <c r="C1" s="4">
        <v>42735</v>
      </c>
      <c r="D1" s="4">
        <v>42916</v>
      </c>
      <c r="E1" s="4">
        <v>43100</v>
      </c>
      <c r="F1" s="4">
        <v>43281</v>
      </c>
      <c r="G1" s="4">
        <v>43465</v>
      </c>
      <c r="H1" s="4">
        <v>43646</v>
      </c>
      <c r="I1" s="4">
        <v>43830</v>
      </c>
      <c r="J1" s="4">
        <v>44012</v>
      </c>
      <c r="K1" s="4">
        <v>44196</v>
      </c>
      <c r="L1" s="4">
        <v>44377</v>
      </c>
      <c r="N1" s="4"/>
      <c r="O1" s="4"/>
      <c r="P1" s="4"/>
      <c r="Q1" s="4"/>
    </row>
    <row r="2" spans="2:155" x14ac:dyDescent="0.3">
      <c r="C2" s="10" t="s">
        <v>44</v>
      </c>
      <c r="D2" s="10" t="s">
        <v>45</v>
      </c>
      <c r="E2" s="10" t="s">
        <v>46</v>
      </c>
      <c r="F2" s="10" t="s">
        <v>43</v>
      </c>
      <c r="G2" s="10" t="s">
        <v>39</v>
      </c>
      <c r="H2" s="10" t="s">
        <v>36</v>
      </c>
      <c r="I2" s="10" t="s">
        <v>37</v>
      </c>
      <c r="J2" s="10" t="s">
        <v>38</v>
      </c>
      <c r="K2" s="10" t="s">
        <v>41</v>
      </c>
      <c r="L2" s="10" t="s">
        <v>42</v>
      </c>
      <c r="N2">
        <v>2017</v>
      </c>
      <c r="O2">
        <v>2018</v>
      </c>
      <c r="P2">
        <v>2019</v>
      </c>
      <c r="Q2">
        <v>2020</v>
      </c>
      <c r="R2">
        <v>2021</v>
      </c>
      <c r="S2">
        <v>2022</v>
      </c>
      <c r="T2">
        <v>2023</v>
      </c>
      <c r="U2">
        <v>2024</v>
      </c>
      <c r="V2">
        <v>2025</v>
      </c>
      <c r="W2">
        <v>2026</v>
      </c>
      <c r="X2">
        <v>2027</v>
      </c>
      <c r="Y2">
        <v>2028</v>
      </c>
      <c r="Z2">
        <v>2029</v>
      </c>
      <c r="AA2">
        <v>2030</v>
      </c>
    </row>
    <row r="3" spans="2:155" s="1" customFormat="1" x14ac:dyDescent="0.3">
      <c r="B3" s="1" t="s">
        <v>8</v>
      </c>
      <c r="C3" s="7">
        <v>0.9</v>
      </c>
      <c r="D3" s="7">
        <f>N3-C3</f>
        <v>1.4700000000000002</v>
      </c>
      <c r="E3" s="7">
        <v>1.8</v>
      </c>
      <c r="F3" s="7">
        <f>O3-E3</f>
        <v>2.5200000000000005</v>
      </c>
      <c r="G3" s="7">
        <v>4.4000000000000004</v>
      </c>
      <c r="H3" s="7">
        <f>P3-G3</f>
        <v>3.4699999999999998</v>
      </c>
      <c r="I3" s="7">
        <v>3.5</v>
      </c>
      <c r="J3" s="7">
        <f>Q3-I3</f>
        <v>1</v>
      </c>
      <c r="K3" s="7">
        <v>3</v>
      </c>
      <c r="L3" s="7">
        <f>K3*1.5</f>
        <v>4.5</v>
      </c>
      <c r="N3" s="7">
        <v>2.37</v>
      </c>
      <c r="O3" s="7">
        <v>4.32</v>
      </c>
      <c r="P3" s="7">
        <v>7.87</v>
      </c>
      <c r="Q3" s="7">
        <v>4.5</v>
      </c>
      <c r="R3" s="7">
        <f>SUM(K3:L3)</f>
        <v>7.5</v>
      </c>
      <c r="S3" s="7">
        <f>R3*1.75</f>
        <v>13.125</v>
      </c>
      <c r="T3" s="7">
        <f>S3*1.5</f>
        <v>19.6875</v>
      </c>
      <c r="U3" s="7">
        <f>T3*1.3</f>
        <v>25.59375</v>
      </c>
      <c r="V3" s="7">
        <f>U3*1.2</f>
        <v>30.712499999999999</v>
      </c>
      <c r="W3" s="7">
        <f>V3*1.15</f>
        <v>35.319374999999994</v>
      </c>
      <c r="X3" s="7">
        <f>W3*1.1</f>
        <v>38.851312499999999</v>
      </c>
      <c r="Y3" s="7">
        <f>X3*1.08</f>
        <v>41.959417500000001</v>
      </c>
      <c r="Z3" s="7">
        <f>Y3*1.05</f>
        <v>44.057388375000002</v>
      </c>
      <c r="AA3" s="7">
        <f>Z3*1.05</f>
        <v>46.260257793750007</v>
      </c>
    </row>
    <row r="4" spans="2:155" x14ac:dyDescent="0.3">
      <c r="B4" t="s">
        <v>9</v>
      </c>
      <c r="C4" s="2">
        <v>1</v>
      </c>
      <c r="D4" s="13">
        <f>N4-C4</f>
        <v>1.7799999999999998</v>
      </c>
      <c r="E4" s="2">
        <v>5</v>
      </c>
      <c r="F4" s="13">
        <f>O4-E4</f>
        <v>2.7</v>
      </c>
      <c r="G4" s="2">
        <v>3.9</v>
      </c>
      <c r="H4" s="13">
        <f>P4-G4</f>
        <v>2.93</v>
      </c>
      <c r="I4" s="2">
        <v>1.5</v>
      </c>
      <c r="J4" s="2">
        <f>Q4-I4</f>
        <v>0.19999999999999996</v>
      </c>
      <c r="K4" s="2">
        <v>1.5</v>
      </c>
      <c r="L4" s="2">
        <f>L3-L5</f>
        <v>1.8000000000000003</v>
      </c>
      <c r="N4" s="2">
        <v>2.78</v>
      </c>
      <c r="O4" s="2">
        <v>7.7</v>
      </c>
      <c r="P4" s="2">
        <v>6.83</v>
      </c>
      <c r="Q4" s="2">
        <v>1.7</v>
      </c>
      <c r="R4" s="13">
        <f>SUM(K4:L4)</f>
        <v>3.3000000000000003</v>
      </c>
      <c r="S4" s="2">
        <f t="shared" ref="S4:AA4" si="0">S3-S5</f>
        <v>4.59375</v>
      </c>
      <c r="T4" s="2">
        <f t="shared" si="0"/>
        <v>6.890625</v>
      </c>
      <c r="U4" s="2">
        <f t="shared" si="0"/>
        <v>8.9578124999999993</v>
      </c>
      <c r="V4" s="2">
        <f t="shared" si="0"/>
        <v>10.749375000000001</v>
      </c>
      <c r="W4" s="2">
        <f t="shared" si="0"/>
        <v>12.361781249999996</v>
      </c>
      <c r="X4" s="2">
        <f t="shared" si="0"/>
        <v>13.597959374999999</v>
      </c>
      <c r="Y4" s="2">
        <f t="shared" si="0"/>
        <v>14.685796125</v>
      </c>
      <c r="Z4" s="2">
        <f t="shared" si="0"/>
        <v>15.42008593125</v>
      </c>
      <c r="AA4" s="2">
        <f t="shared" si="0"/>
        <v>16.191090227812502</v>
      </c>
    </row>
    <row r="5" spans="2:155" s="1" customFormat="1" x14ac:dyDescent="0.3">
      <c r="B5" s="1" t="s">
        <v>10</v>
      </c>
      <c r="C5" s="7">
        <f t="shared" ref="C5:K5" si="1">C3-C4</f>
        <v>-9.9999999999999978E-2</v>
      </c>
      <c r="D5" s="7">
        <f t="shared" si="1"/>
        <v>-0.30999999999999961</v>
      </c>
      <c r="E5" s="7">
        <f t="shared" si="1"/>
        <v>-3.2</v>
      </c>
      <c r="F5" s="7">
        <f t="shared" si="1"/>
        <v>-0.17999999999999972</v>
      </c>
      <c r="G5" s="7">
        <f t="shared" si="1"/>
        <v>0.50000000000000044</v>
      </c>
      <c r="H5" s="7">
        <f t="shared" si="1"/>
        <v>0.53999999999999959</v>
      </c>
      <c r="I5" s="7">
        <f t="shared" si="1"/>
        <v>2</v>
      </c>
      <c r="J5" s="7">
        <f t="shared" si="1"/>
        <v>0.8</v>
      </c>
      <c r="K5" s="7">
        <f t="shared" si="1"/>
        <v>1.5</v>
      </c>
      <c r="L5" s="7">
        <f>L3*0.6</f>
        <v>2.6999999999999997</v>
      </c>
      <c r="N5" s="7">
        <f>N3-N4</f>
        <v>-0.4099999999999997</v>
      </c>
      <c r="O5" s="7">
        <f>O3-O4</f>
        <v>-3.38</v>
      </c>
      <c r="P5" s="7">
        <f>P3-P4</f>
        <v>1.04</v>
      </c>
      <c r="Q5" s="7">
        <f>Q3-Q4</f>
        <v>2.8</v>
      </c>
      <c r="R5" s="7">
        <f>R3*0.65</f>
        <v>4.875</v>
      </c>
      <c r="S5" s="7">
        <f t="shared" ref="S5:AA5" si="2">S3*0.65</f>
        <v>8.53125</v>
      </c>
      <c r="T5" s="7">
        <f t="shared" si="2"/>
        <v>12.796875</v>
      </c>
      <c r="U5" s="7">
        <f t="shared" si="2"/>
        <v>16.635937500000001</v>
      </c>
      <c r="V5" s="7">
        <f t="shared" si="2"/>
        <v>19.963124999999998</v>
      </c>
      <c r="W5" s="7">
        <f t="shared" si="2"/>
        <v>22.957593749999997</v>
      </c>
      <c r="X5" s="7">
        <f t="shared" si="2"/>
        <v>25.253353125</v>
      </c>
      <c r="Y5" s="7">
        <f t="shared" si="2"/>
        <v>27.273621375000001</v>
      </c>
      <c r="Z5" s="7">
        <f t="shared" si="2"/>
        <v>28.637302443750002</v>
      </c>
      <c r="AA5" s="7">
        <f t="shared" si="2"/>
        <v>30.069167565937505</v>
      </c>
    </row>
    <row r="6" spans="2:155" x14ac:dyDescent="0.3">
      <c r="B6" t="s">
        <v>11</v>
      </c>
      <c r="C6" s="2">
        <v>1.6</v>
      </c>
      <c r="D6" s="13">
        <f>N6-C6</f>
        <v>3.3299999999999996</v>
      </c>
      <c r="E6" s="2">
        <v>4.4000000000000004</v>
      </c>
      <c r="F6" s="13">
        <f>O6-E6</f>
        <v>5.629999999999999</v>
      </c>
      <c r="G6" s="2">
        <v>6</v>
      </c>
      <c r="H6" s="13">
        <f>P6-G6</f>
        <v>6.1099999999999994</v>
      </c>
      <c r="I6" s="2">
        <v>5.4</v>
      </c>
      <c r="J6" s="2">
        <f>Q6-I6</f>
        <v>5.2999999999999989</v>
      </c>
      <c r="K6" s="2">
        <v>2.9</v>
      </c>
      <c r="L6" s="2">
        <f>J6*0.8</f>
        <v>4.2399999999999993</v>
      </c>
      <c r="N6" s="2">
        <v>4.93</v>
      </c>
      <c r="O6" s="2">
        <v>10.029999999999999</v>
      </c>
      <c r="P6" s="2">
        <v>12.11</v>
      </c>
      <c r="Q6" s="2">
        <v>10.7</v>
      </c>
      <c r="R6" s="13">
        <f>SUM(K6:L6)</f>
        <v>7.1399999999999988</v>
      </c>
      <c r="S6" s="2">
        <f>R6*1.3</f>
        <v>9.2819999999999983</v>
      </c>
      <c r="T6" s="2">
        <f>S6*1.15</f>
        <v>10.674299999999997</v>
      </c>
      <c r="U6" s="2">
        <f>T6*1.1</f>
        <v>11.741729999999997</v>
      </c>
      <c r="V6" s="2">
        <f>U6*1.05</f>
        <v>12.328816499999997</v>
      </c>
      <c r="W6" s="2">
        <f>V6*1.04</f>
        <v>12.821969159999997</v>
      </c>
      <c r="X6" s="2">
        <f>W6*1.03</f>
        <v>13.206628234799997</v>
      </c>
      <c r="Y6" s="2">
        <f t="shared" ref="Y6:AA6" si="3">X6*1.02</f>
        <v>13.470760799495997</v>
      </c>
      <c r="Z6" s="2">
        <f t="shared" si="3"/>
        <v>13.740176015485916</v>
      </c>
      <c r="AA6" s="2">
        <f t="shared" si="3"/>
        <v>14.014979535795636</v>
      </c>
    </row>
    <row r="7" spans="2:155" x14ac:dyDescent="0.3">
      <c r="B7" t="s">
        <v>12</v>
      </c>
      <c r="C7" s="2">
        <v>0</v>
      </c>
      <c r="D7" s="13">
        <f>N7-C7</f>
        <v>0</v>
      </c>
      <c r="E7" s="2">
        <v>0</v>
      </c>
      <c r="F7" s="13">
        <f>O7-E7</f>
        <v>0</v>
      </c>
      <c r="G7" s="2">
        <v>0.3</v>
      </c>
      <c r="H7" s="13">
        <f>P7-G7</f>
        <v>-0.3</v>
      </c>
      <c r="I7" s="2">
        <v>0</v>
      </c>
      <c r="J7" s="2">
        <f>Q7-I7</f>
        <v>-0.1</v>
      </c>
      <c r="K7" s="2">
        <v>-0.1</v>
      </c>
      <c r="L7" s="2">
        <v>0</v>
      </c>
      <c r="N7" s="2">
        <v>0</v>
      </c>
      <c r="O7" s="2">
        <v>0</v>
      </c>
      <c r="P7" s="2">
        <v>0</v>
      </c>
      <c r="Q7" s="2">
        <v>-0.1</v>
      </c>
      <c r="R7" s="13">
        <f>SUM(K7:L7)</f>
        <v>-0.1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</row>
    <row r="8" spans="2:155" s="1" customFormat="1" x14ac:dyDescent="0.3">
      <c r="B8" s="1" t="s">
        <v>13</v>
      </c>
      <c r="C8" s="7">
        <f t="shared" ref="C8:J8" si="4">C5-C6-C7</f>
        <v>-1.7000000000000002</v>
      </c>
      <c r="D8" s="7">
        <f t="shared" si="4"/>
        <v>-3.6399999999999992</v>
      </c>
      <c r="E8" s="7">
        <f t="shared" si="4"/>
        <v>-7.6000000000000005</v>
      </c>
      <c r="F8" s="7">
        <f t="shared" si="4"/>
        <v>-5.8099999999999987</v>
      </c>
      <c r="G8" s="7">
        <f t="shared" si="4"/>
        <v>-5.8</v>
      </c>
      <c r="H8" s="7">
        <f t="shared" si="4"/>
        <v>-5.2700000000000005</v>
      </c>
      <c r="I8" s="7">
        <f t="shared" si="4"/>
        <v>-3.4000000000000004</v>
      </c>
      <c r="J8" s="7">
        <f t="shared" si="4"/>
        <v>-4.3999999999999995</v>
      </c>
      <c r="K8" s="7">
        <f t="shared" ref="K8:L8" si="5">K5-K6-K7</f>
        <v>-1.2999999999999998</v>
      </c>
      <c r="L8" s="7">
        <f t="shared" si="5"/>
        <v>-1.5399999999999996</v>
      </c>
      <c r="N8" s="7">
        <f>N5-N6-N7</f>
        <v>-5.34</v>
      </c>
      <c r="O8" s="7">
        <f>O5-O6-O7</f>
        <v>-13.41</v>
      </c>
      <c r="P8" s="7">
        <f>P5-P6-P7</f>
        <v>-11.07</v>
      </c>
      <c r="Q8" s="7">
        <f>Q5-Q6-Q7</f>
        <v>-7.8</v>
      </c>
      <c r="R8" s="7">
        <f>R5-R6-R7</f>
        <v>-2.1649999999999987</v>
      </c>
      <c r="S8" s="7">
        <f t="shared" ref="S8:AA8" si="6">S5-S6-S7</f>
        <v>-0.75074999999999825</v>
      </c>
      <c r="T8" s="7">
        <f t="shared" si="6"/>
        <v>2.122575000000003</v>
      </c>
      <c r="U8" s="7">
        <f t="shared" si="6"/>
        <v>4.8942075000000038</v>
      </c>
      <c r="V8" s="7">
        <f t="shared" si="6"/>
        <v>7.6343085000000013</v>
      </c>
      <c r="W8" s="7">
        <f t="shared" si="6"/>
        <v>10.135624590000001</v>
      </c>
      <c r="X8" s="7">
        <f t="shared" si="6"/>
        <v>12.046724890200004</v>
      </c>
      <c r="Y8" s="7">
        <f t="shared" si="6"/>
        <v>13.802860575504004</v>
      </c>
      <c r="Z8" s="7">
        <f t="shared" si="6"/>
        <v>14.897126428264086</v>
      </c>
      <c r="AA8" s="7">
        <f t="shared" si="6"/>
        <v>16.054188030141869</v>
      </c>
    </row>
    <row r="9" spans="2:155" x14ac:dyDescent="0.3">
      <c r="B9" t="s">
        <v>14</v>
      </c>
      <c r="C9" s="2">
        <v>0</v>
      </c>
      <c r="D9" s="13">
        <f>N9-C9</f>
        <v>0</v>
      </c>
      <c r="E9" s="2">
        <v>0</v>
      </c>
      <c r="F9" s="13">
        <f>O9-E9</f>
        <v>0</v>
      </c>
      <c r="G9" s="2">
        <v>0</v>
      </c>
      <c r="H9" s="13">
        <f>P9-G9</f>
        <v>0</v>
      </c>
      <c r="I9" s="2">
        <v>0.3</v>
      </c>
      <c r="J9" s="2">
        <f>Q9-I9</f>
        <v>-0.3</v>
      </c>
      <c r="K9" s="2">
        <v>0</v>
      </c>
      <c r="L9" s="2">
        <v>0</v>
      </c>
      <c r="N9" s="2">
        <v>0</v>
      </c>
      <c r="O9" s="2">
        <v>0</v>
      </c>
      <c r="P9" s="2">
        <v>0</v>
      </c>
      <c r="Q9" s="2">
        <v>0</v>
      </c>
      <c r="R9" s="13">
        <f>SUM(K9:L9)</f>
        <v>0</v>
      </c>
      <c r="S9" s="2">
        <v>0</v>
      </c>
      <c r="T9" s="2">
        <v>0</v>
      </c>
      <c r="U9" s="2">
        <v>0</v>
      </c>
      <c r="V9" s="2">
        <v>0</v>
      </c>
      <c r="W9" s="2">
        <f>-V14*0.01</f>
        <v>-6.1074468000000007E-2</v>
      </c>
      <c r="X9" s="2">
        <f t="shared" ref="X9:AA9" si="7">-W14*0.01</f>
        <v>-8.1573592464000005E-2</v>
      </c>
      <c r="Y9" s="2">
        <f t="shared" si="7"/>
        <v>-9.7026387861312027E-2</v>
      </c>
      <c r="Z9" s="2">
        <f t="shared" si="7"/>
        <v>-0.11119909570692255</v>
      </c>
      <c r="AA9" s="2">
        <f t="shared" si="7"/>
        <v>-0.12006660419176807</v>
      </c>
    </row>
    <row r="10" spans="2:155" x14ac:dyDescent="0.3">
      <c r="B10" t="s">
        <v>15</v>
      </c>
      <c r="C10" s="2">
        <v>0</v>
      </c>
      <c r="D10" s="13">
        <f>N10-C10</f>
        <v>0</v>
      </c>
      <c r="E10" s="2">
        <v>0</v>
      </c>
      <c r="F10" s="13">
        <f>O10-E10</f>
        <v>0</v>
      </c>
      <c r="G10" s="2">
        <v>0</v>
      </c>
      <c r="H10" s="13">
        <f>P10-G10</f>
        <v>0</v>
      </c>
      <c r="I10" s="2">
        <v>0</v>
      </c>
      <c r="J10" s="2">
        <f>Q10-I10</f>
        <v>0.04</v>
      </c>
      <c r="K10" s="2">
        <v>0</v>
      </c>
      <c r="L10" s="2">
        <v>0</v>
      </c>
      <c r="N10" s="2">
        <v>0</v>
      </c>
      <c r="O10" s="2">
        <v>0</v>
      </c>
      <c r="P10" s="2">
        <v>0</v>
      </c>
      <c r="Q10" s="2">
        <v>0.04</v>
      </c>
      <c r="R10" s="13">
        <f>SUM(K10:L10)</f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</row>
    <row r="11" spans="2:155" x14ac:dyDescent="0.3">
      <c r="B11" t="s">
        <v>40</v>
      </c>
      <c r="C11" s="2">
        <v>0</v>
      </c>
      <c r="D11" s="13">
        <f>N11-C11</f>
        <v>0</v>
      </c>
      <c r="E11" s="2">
        <v>0.1</v>
      </c>
      <c r="F11" s="13">
        <f>O11-E11</f>
        <v>0.24999999999999997</v>
      </c>
      <c r="G11" s="2">
        <v>0.3</v>
      </c>
      <c r="H11" s="13">
        <f>P11-G11</f>
        <v>0.7</v>
      </c>
      <c r="I11" s="2">
        <v>0.3</v>
      </c>
      <c r="J11" s="2">
        <f>Q11-I11</f>
        <v>0</v>
      </c>
      <c r="K11" s="2">
        <v>-0.5</v>
      </c>
      <c r="L11" s="2">
        <v>0</v>
      </c>
      <c r="N11" s="2">
        <v>0</v>
      </c>
      <c r="O11" s="2">
        <v>0.35</v>
      </c>
      <c r="P11" s="2">
        <v>1</v>
      </c>
      <c r="Q11" s="2">
        <v>0.3</v>
      </c>
      <c r="R11" s="13">
        <f>SUM(K11:L11)</f>
        <v>-0.5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</row>
    <row r="12" spans="2:155" s="1" customFormat="1" x14ac:dyDescent="0.3">
      <c r="B12" s="1" t="s">
        <v>16</v>
      </c>
      <c r="C12" s="7">
        <f t="shared" ref="C12:J12" si="8">C8-C9-C10-C11</f>
        <v>-1.7000000000000002</v>
      </c>
      <c r="D12" s="7">
        <f t="shared" si="8"/>
        <v>-3.6399999999999992</v>
      </c>
      <c r="E12" s="7">
        <f t="shared" si="8"/>
        <v>-7.7</v>
      </c>
      <c r="F12" s="7">
        <f t="shared" si="8"/>
        <v>-6.0599999999999987</v>
      </c>
      <c r="G12" s="7">
        <f t="shared" si="8"/>
        <v>-6.1</v>
      </c>
      <c r="H12" s="7">
        <f t="shared" si="8"/>
        <v>-5.9700000000000006</v>
      </c>
      <c r="I12" s="7">
        <f t="shared" si="8"/>
        <v>-4</v>
      </c>
      <c r="J12" s="7">
        <f t="shared" si="8"/>
        <v>-4.1399999999999997</v>
      </c>
      <c r="K12" s="7">
        <f t="shared" ref="K12:L12" si="9">K8-K9-K10-K11</f>
        <v>-0.79999999999999982</v>
      </c>
      <c r="L12" s="7">
        <f t="shared" si="9"/>
        <v>-1.5399999999999996</v>
      </c>
      <c r="N12" s="7">
        <f t="shared" ref="N12:AA12" si="10">N8-N9-N10-N11</f>
        <v>-5.34</v>
      </c>
      <c r="O12" s="7">
        <f t="shared" si="10"/>
        <v>-13.76</v>
      </c>
      <c r="P12" s="7">
        <f t="shared" si="10"/>
        <v>-12.07</v>
      </c>
      <c r="Q12" s="7">
        <f t="shared" si="10"/>
        <v>-8.14</v>
      </c>
      <c r="R12" s="7">
        <f t="shared" si="10"/>
        <v>-1.6649999999999987</v>
      </c>
      <c r="S12" s="7">
        <f t="shared" si="10"/>
        <v>-0.75074999999999825</v>
      </c>
      <c r="T12" s="7">
        <f t="shared" si="10"/>
        <v>2.122575000000003</v>
      </c>
      <c r="U12" s="7">
        <f t="shared" si="10"/>
        <v>4.8942075000000038</v>
      </c>
      <c r="V12" s="7">
        <f t="shared" si="10"/>
        <v>7.6343085000000013</v>
      </c>
      <c r="W12" s="7">
        <f t="shared" si="10"/>
        <v>10.196699058</v>
      </c>
      <c r="X12" s="7">
        <f t="shared" si="10"/>
        <v>12.128298482664004</v>
      </c>
      <c r="Y12" s="7">
        <f t="shared" si="10"/>
        <v>13.899886963365317</v>
      </c>
      <c r="Z12" s="7">
        <f t="shared" si="10"/>
        <v>15.008325523971008</v>
      </c>
      <c r="AA12" s="7">
        <f t="shared" si="10"/>
        <v>16.174254634333636</v>
      </c>
    </row>
    <row r="13" spans="2:155" x14ac:dyDescent="0.3">
      <c r="B13" t="s">
        <v>17</v>
      </c>
      <c r="C13" s="2">
        <v>0</v>
      </c>
      <c r="D13" s="13">
        <f>N13-C13</f>
        <v>-0.1</v>
      </c>
      <c r="E13" s="2">
        <v>-0.1</v>
      </c>
      <c r="F13" s="13">
        <f>O13-E13</f>
        <v>-0.12</v>
      </c>
      <c r="G13" s="2">
        <v>-0.1</v>
      </c>
      <c r="H13" s="13">
        <f>P13-G13</f>
        <v>4.0000000000000008E-2</v>
      </c>
      <c r="I13" s="2">
        <v>-0.1</v>
      </c>
      <c r="J13" s="2">
        <f>Q13-I13</f>
        <v>-0.4</v>
      </c>
      <c r="K13" s="2">
        <v>0</v>
      </c>
      <c r="L13" s="2">
        <f>L12*0.05</f>
        <v>-7.6999999999999985E-2</v>
      </c>
      <c r="N13" s="2">
        <v>-0.1</v>
      </c>
      <c r="O13" s="2">
        <v>-0.22</v>
      </c>
      <c r="P13" s="2">
        <v>-0.06</v>
      </c>
      <c r="Q13" s="2">
        <v>-0.5</v>
      </c>
      <c r="R13" s="13">
        <f>SUM(K13:L13)</f>
        <v>-7.6999999999999985E-2</v>
      </c>
      <c r="S13" s="2">
        <f t="shared" ref="S13:T13" si="11">S12*0.05</f>
        <v>-3.7537499999999918E-2</v>
      </c>
      <c r="T13" s="2">
        <f t="shared" si="11"/>
        <v>0.10612875000000016</v>
      </c>
      <c r="U13" s="2">
        <f t="shared" ref="U13:W13" si="12">U12*0.2</f>
        <v>0.97884150000000081</v>
      </c>
      <c r="V13" s="2">
        <f t="shared" si="12"/>
        <v>1.5268617000000004</v>
      </c>
      <c r="W13" s="2">
        <f t="shared" si="12"/>
        <v>2.0393398116000001</v>
      </c>
      <c r="X13" s="2">
        <f t="shared" ref="X13:AA13" si="13">X12*0.2</f>
        <v>2.4256596965328008</v>
      </c>
      <c r="Y13" s="2">
        <f t="shared" si="13"/>
        <v>2.7799773926730635</v>
      </c>
      <c r="Z13" s="2">
        <f t="shared" si="13"/>
        <v>3.0016651047942018</v>
      </c>
      <c r="AA13" s="2">
        <f t="shared" si="13"/>
        <v>3.2348509268667271</v>
      </c>
    </row>
    <row r="14" spans="2:155" s="1" customFormat="1" x14ac:dyDescent="0.3">
      <c r="B14" s="1" t="s">
        <v>18</v>
      </c>
      <c r="C14" s="7">
        <f t="shared" ref="C14:J14" si="14">C12-C13</f>
        <v>-1.7000000000000002</v>
      </c>
      <c r="D14" s="7">
        <f t="shared" si="14"/>
        <v>-3.5399999999999991</v>
      </c>
      <c r="E14" s="7">
        <f t="shared" si="14"/>
        <v>-7.6000000000000005</v>
      </c>
      <c r="F14" s="7">
        <f t="shared" si="14"/>
        <v>-5.9399999999999986</v>
      </c>
      <c r="G14" s="7">
        <f t="shared" si="14"/>
        <v>-6</v>
      </c>
      <c r="H14" s="7">
        <f t="shared" si="14"/>
        <v>-6.0100000000000007</v>
      </c>
      <c r="I14" s="7">
        <f t="shared" si="14"/>
        <v>-3.9</v>
      </c>
      <c r="J14" s="7">
        <f t="shared" si="14"/>
        <v>-3.7399999999999998</v>
      </c>
      <c r="K14" s="7">
        <f t="shared" ref="K14:L14" si="15">K12-K13</f>
        <v>-0.79999999999999982</v>
      </c>
      <c r="L14" s="7">
        <f t="shared" si="15"/>
        <v>-1.4629999999999996</v>
      </c>
      <c r="N14" s="7">
        <f>N12-N13</f>
        <v>-5.24</v>
      </c>
      <c r="O14" s="7">
        <f>O12-O13</f>
        <v>-13.54</v>
      </c>
      <c r="P14" s="7">
        <f>P12-P13</f>
        <v>-12.01</v>
      </c>
      <c r="Q14" s="7">
        <f>Q12-Q13</f>
        <v>-7.6400000000000006</v>
      </c>
      <c r="R14" s="7">
        <f t="shared" ref="R14:AA14" si="16">R12-R13</f>
        <v>-1.5879999999999987</v>
      </c>
      <c r="S14" s="7">
        <f t="shared" si="16"/>
        <v>-0.71321249999999836</v>
      </c>
      <c r="T14" s="7">
        <f t="shared" si="16"/>
        <v>2.0164462500000027</v>
      </c>
      <c r="U14" s="7">
        <f t="shared" si="16"/>
        <v>3.9153660000000032</v>
      </c>
      <c r="V14" s="7">
        <f t="shared" si="16"/>
        <v>6.1074468000000008</v>
      </c>
      <c r="W14" s="7">
        <f t="shared" si="16"/>
        <v>8.1573592464000004</v>
      </c>
      <c r="X14" s="7">
        <f t="shared" si="16"/>
        <v>9.7026387861312031</v>
      </c>
      <c r="Y14" s="7">
        <f t="shared" si="16"/>
        <v>11.119909570692254</v>
      </c>
      <c r="Z14" s="7">
        <f t="shared" si="16"/>
        <v>12.006660419176807</v>
      </c>
      <c r="AA14" s="7">
        <f t="shared" si="16"/>
        <v>12.939403707466909</v>
      </c>
      <c r="AB14" s="7">
        <f>AA14*(1+$AD$20)</f>
        <v>12.810009670392239</v>
      </c>
      <c r="AC14" s="7">
        <f t="shared" ref="AC14:CN14" si="17">AB14*(1+$AD$20)</f>
        <v>12.681909573688316</v>
      </c>
      <c r="AD14" s="7">
        <f t="shared" si="17"/>
        <v>12.555090477951433</v>
      </c>
      <c r="AE14" s="7">
        <f t="shared" si="17"/>
        <v>12.429539573171919</v>
      </c>
      <c r="AF14" s="7">
        <f t="shared" si="17"/>
        <v>12.305244177440199</v>
      </c>
      <c r="AG14" s="7">
        <f t="shared" si="17"/>
        <v>12.182191735665798</v>
      </c>
      <c r="AH14" s="7">
        <f t="shared" si="17"/>
        <v>12.060369818309139</v>
      </c>
      <c r="AI14" s="7">
        <f t="shared" si="17"/>
        <v>11.939766120126048</v>
      </c>
      <c r="AJ14" s="7">
        <f t="shared" si="17"/>
        <v>11.820368458924788</v>
      </c>
      <c r="AK14" s="7">
        <f t="shared" si="17"/>
        <v>11.702164774335539</v>
      </c>
      <c r="AL14" s="7">
        <f t="shared" si="17"/>
        <v>11.585143126592184</v>
      </c>
      <c r="AM14" s="7">
        <f t="shared" si="17"/>
        <v>11.469291695326262</v>
      </c>
      <c r="AN14" s="7">
        <f t="shared" si="17"/>
        <v>11.354598778372999</v>
      </c>
      <c r="AO14" s="7">
        <f t="shared" si="17"/>
        <v>11.241052790589269</v>
      </c>
      <c r="AP14" s="7">
        <f t="shared" si="17"/>
        <v>11.128642262683377</v>
      </c>
      <c r="AQ14" s="7">
        <f t="shared" si="17"/>
        <v>11.017355840056542</v>
      </c>
      <c r="AR14" s="7">
        <f t="shared" si="17"/>
        <v>10.907182281655976</v>
      </c>
      <c r="AS14" s="7">
        <f t="shared" si="17"/>
        <v>10.798110458839416</v>
      </c>
      <c r="AT14" s="7">
        <f t="shared" si="17"/>
        <v>10.690129354251022</v>
      </c>
      <c r="AU14" s="7">
        <f t="shared" si="17"/>
        <v>10.583228060708512</v>
      </c>
      <c r="AV14" s="7">
        <f t="shared" si="17"/>
        <v>10.477395780101427</v>
      </c>
      <c r="AW14" s="7">
        <f t="shared" si="17"/>
        <v>10.372621822300411</v>
      </c>
      <c r="AX14" s="7">
        <f t="shared" si="17"/>
        <v>10.268895604077407</v>
      </c>
      <c r="AY14" s="7">
        <f t="shared" si="17"/>
        <v>10.166206648036633</v>
      </c>
      <c r="AZ14" s="7">
        <f t="shared" si="17"/>
        <v>10.064544581556266</v>
      </c>
      <c r="BA14" s="7">
        <f t="shared" si="17"/>
        <v>9.9638991357407036</v>
      </c>
      <c r="BB14" s="7">
        <f t="shared" si="17"/>
        <v>9.8642601443832962</v>
      </c>
      <c r="BC14" s="7">
        <f t="shared" si="17"/>
        <v>9.7656175429394629</v>
      </c>
      <c r="BD14" s="7">
        <f t="shared" si="17"/>
        <v>9.6679613675100686</v>
      </c>
      <c r="BE14" s="7">
        <f t="shared" si="17"/>
        <v>9.5712817538349686</v>
      </c>
      <c r="BF14" s="7">
        <f t="shared" si="17"/>
        <v>9.475568936296618</v>
      </c>
      <c r="BG14" s="7">
        <f t="shared" si="17"/>
        <v>9.380813246933652</v>
      </c>
      <c r="BH14" s="7">
        <f t="shared" si="17"/>
        <v>9.287005114464316</v>
      </c>
      <c r="BI14" s="7">
        <f t="shared" si="17"/>
        <v>9.1941350633196723</v>
      </c>
      <c r="BJ14" s="7">
        <f t="shared" si="17"/>
        <v>9.1021937126864749</v>
      </c>
      <c r="BK14" s="7">
        <f t="shared" si="17"/>
        <v>9.0111717755596104</v>
      </c>
      <c r="BL14" s="7">
        <f t="shared" si="17"/>
        <v>8.9210600578040147</v>
      </c>
      <c r="BM14" s="7">
        <f t="shared" si="17"/>
        <v>8.8318494572259745</v>
      </c>
      <c r="BN14" s="7">
        <f t="shared" si="17"/>
        <v>8.7435309626537148</v>
      </c>
      <c r="BO14" s="7">
        <f t="shared" si="17"/>
        <v>8.6560956530271778</v>
      </c>
      <c r="BP14" s="7">
        <f t="shared" si="17"/>
        <v>8.5695346964969055</v>
      </c>
      <c r="BQ14" s="7">
        <f t="shared" si="17"/>
        <v>8.4838393495319355</v>
      </c>
      <c r="BR14" s="7">
        <f t="shared" si="17"/>
        <v>8.3990009560366161</v>
      </c>
      <c r="BS14" s="7">
        <f t="shared" si="17"/>
        <v>8.3150109464762494</v>
      </c>
      <c r="BT14" s="7">
        <f t="shared" si="17"/>
        <v>8.231860837011487</v>
      </c>
      <c r="BU14" s="7">
        <f t="shared" si="17"/>
        <v>8.1495422286413728</v>
      </c>
      <c r="BV14" s="7">
        <f t="shared" si="17"/>
        <v>8.0680468063549586</v>
      </c>
      <c r="BW14" s="7">
        <f t="shared" si="17"/>
        <v>7.9873663382914089</v>
      </c>
      <c r="BX14" s="7">
        <f t="shared" si="17"/>
        <v>7.9074926749084948</v>
      </c>
      <c r="BY14" s="7">
        <f t="shared" si="17"/>
        <v>7.8284177481594099</v>
      </c>
      <c r="BZ14" s="7">
        <f t="shared" si="17"/>
        <v>7.7501335706778161</v>
      </c>
      <c r="CA14" s="7">
        <f t="shared" si="17"/>
        <v>7.6726322349710374</v>
      </c>
      <c r="CB14" s="7">
        <f t="shared" si="17"/>
        <v>7.5959059126213271</v>
      </c>
      <c r="CC14" s="7">
        <f t="shared" si="17"/>
        <v>7.5199468534951137</v>
      </c>
      <c r="CD14" s="7">
        <f t="shared" si="17"/>
        <v>7.4447473849601629</v>
      </c>
      <c r="CE14" s="7">
        <f t="shared" si="17"/>
        <v>7.3702999111105614</v>
      </c>
      <c r="CF14" s="7">
        <f t="shared" si="17"/>
        <v>7.2965969119994556</v>
      </c>
      <c r="CG14" s="7">
        <f t="shared" si="17"/>
        <v>7.2236309428794607</v>
      </c>
      <c r="CH14" s="7">
        <f t="shared" si="17"/>
        <v>7.1513946334506659</v>
      </c>
      <c r="CI14" s="7">
        <f t="shared" si="17"/>
        <v>7.0798806871161588</v>
      </c>
      <c r="CJ14" s="7">
        <f t="shared" si="17"/>
        <v>7.009081880244997</v>
      </c>
      <c r="CK14" s="7">
        <f t="shared" si="17"/>
        <v>6.9389910614425467</v>
      </c>
      <c r="CL14" s="7">
        <f t="shared" si="17"/>
        <v>6.869601150828121</v>
      </c>
      <c r="CM14" s="7">
        <f t="shared" si="17"/>
        <v>6.8009051393198394</v>
      </c>
      <c r="CN14" s="7">
        <f t="shared" si="17"/>
        <v>6.7328960879266413</v>
      </c>
      <c r="CO14" s="7">
        <f t="shared" ref="CO14:EY14" si="18">CN14*(1+$AD$20)</f>
        <v>6.6655671270473746</v>
      </c>
      <c r="CP14" s="7">
        <f t="shared" si="18"/>
        <v>6.5989114557769009</v>
      </c>
      <c r="CQ14" s="7">
        <f t="shared" si="18"/>
        <v>6.5329223412191322</v>
      </c>
      <c r="CR14" s="7">
        <f t="shared" si="18"/>
        <v>6.467593117806941</v>
      </c>
      <c r="CS14" s="7">
        <f t="shared" si="18"/>
        <v>6.4029171866288719</v>
      </c>
      <c r="CT14" s="7">
        <f t="shared" si="18"/>
        <v>6.338888014762583</v>
      </c>
      <c r="CU14" s="7">
        <f t="shared" si="18"/>
        <v>6.2754991346149573</v>
      </c>
      <c r="CV14" s="7">
        <f t="shared" si="18"/>
        <v>6.2127441432688073</v>
      </c>
      <c r="CW14" s="7">
        <f t="shared" si="18"/>
        <v>6.1506167018361193</v>
      </c>
      <c r="CX14" s="7">
        <f t="shared" si="18"/>
        <v>6.0891105348177579</v>
      </c>
      <c r="CY14" s="7">
        <f t="shared" si="18"/>
        <v>6.0282194294695799</v>
      </c>
      <c r="CZ14" s="7">
        <f t="shared" si="18"/>
        <v>5.9679372351748841</v>
      </c>
      <c r="DA14" s="7">
        <f t="shared" si="18"/>
        <v>5.9082578628231355</v>
      </c>
      <c r="DB14" s="7">
        <f t="shared" si="18"/>
        <v>5.8491752841949038</v>
      </c>
      <c r="DC14" s="7">
        <f t="shared" si="18"/>
        <v>5.790683531352955</v>
      </c>
      <c r="DD14" s="7">
        <f t="shared" si="18"/>
        <v>5.7327766960394255</v>
      </c>
      <c r="DE14" s="7">
        <f t="shared" si="18"/>
        <v>5.6754489290790309</v>
      </c>
      <c r="DF14" s="7">
        <f t="shared" si="18"/>
        <v>5.6186944397882401</v>
      </c>
      <c r="DG14" s="7">
        <f t="shared" si="18"/>
        <v>5.5625074953903573</v>
      </c>
      <c r="DH14" s="7">
        <f t="shared" si="18"/>
        <v>5.5068824204364537</v>
      </c>
      <c r="DI14" s="7">
        <f t="shared" si="18"/>
        <v>5.4518135962320891</v>
      </c>
      <c r="DJ14" s="7">
        <f t="shared" si="18"/>
        <v>5.3972954602697678</v>
      </c>
      <c r="DK14" s="7">
        <f t="shared" si="18"/>
        <v>5.3433225056670697</v>
      </c>
      <c r="DL14" s="7">
        <f t="shared" si="18"/>
        <v>5.2898892806103985</v>
      </c>
      <c r="DM14" s="7">
        <f t="shared" si="18"/>
        <v>5.2369903878042949</v>
      </c>
      <c r="DN14" s="7">
        <f t="shared" si="18"/>
        <v>5.1846204839262517</v>
      </c>
      <c r="DO14" s="7">
        <f t="shared" si="18"/>
        <v>5.1327742790869895</v>
      </c>
      <c r="DP14" s="7">
        <f t="shared" si="18"/>
        <v>5.0814465362961192</v>
      </c>
      <c r="DQ14" s="7">
        <f t="shared" si="18"/>
        <v>5.0306320709331578</v>
      </c>
      <c r="DR14" s="7">
        <f t="shared" si="18"/>
        <v>4.9803257502238258</v>
      </c>
      <c r="DS14" s="7">
        <f t="shared" si="18"/>
        <v>4.9305224927215878</v>
      </c>
      <c r="DT14" s="7">
        <f t="shared" si="18"/>
        <v>4.8812172677943719</v>
      </c>
      <c r="DU14" s="7">
        <f t="shared" si="18"/>
        <v>4.8324050951164281</v>
      </c>
      <c r="DV14" s="7">
        <f t="shared" si="18"/>
        <v>4.7840810441652639</v>
      </c>
      <c r="DW14" s="7">
        <f t="shared" si="18"/>
        <v>4.7362402337236116</v>
      </c>
      <c r="DX14" s="7">
        <f t="shared" si="18"/>
        <v>4.6888778313863755</v>
      </c>
      <c r="DY14" s="7">
        <f t="shared" si="18"/>
        <v>4.6419890530725114</v>
      </c>
      <c r="DZ14" s="7">
        <f t="shared" si="18"/>
        <v>4.5955691625417865</v>
      </c>
      <c r="EA14" s="7">
        <f t="shared" si="18"/>
        <v>4.5496134709163689</v>
      </c>
      <c r="EB14" s="7">
        <f t="shared" si="18"/>
        <v>4.5041173362072051</v>
      </c>
      <c r="EC14" s="7">
        <f t="shared" si="18"/>
        <v>4.4590761628451334</v>
      </c>
      <c r="ED14" s="7">
        <f t="shared" si="18"/>
        <v>4.4144854012166821</v>
      </c>
      <c r="EE14" s="7">
        <f t="shared" si="18"/>
        <v>4.3703405472045151</v>
      </c>
      <c r="EF14" s="7">
        <f t="shared" si="18"/>
        <v>4.32663714173247</v>
      </c>
      <c r="EG14" s="7">
        <f t="shared" si="18"/>
        <v>4.2833707703151456</v>
      </c>
      <c r="EH14" s="7">
        <f t="shared" si="18"/>
        <v>4.2405370626119945</v>
      </c>
      <c r="EI14" s="7">
        <f t="shared" si="18"/>
        <v>4.1981316919858749</v>
      </c>
      <c r="EJ14" s="7">
        <f t="shared" si="18"/>
        <v>4.1561503750660158</v>
      </c>
      <c r="EK14" s="7">
        <f t="shared" si="18"/>
        <v>4.1145888713153553</v>
      </c>
      <c r="EL14" s="7">
        <f t="shared" si="18"/>
        <v>4.0734429826022014</v>
      </c>
      <c r="EM14" s="7">
        <f t="shared" si="18"/>
        <v>4.032708552776179</v>
      </c>
      <c r="EN14" s="7">
        <f t="shared" si="18"/>
        <v>3.9923814672484172</v>
      </c>
      <c r="EO14" s="7">
        <f t="shared" si="18"/>
        <v>3.9524576525759332</v>
      </c>
      <c r="EP14" s="7">
        <f t="shared" si="18"/>
        <v>3.9129330760501739</v>
      </c>
      <c r="EQ14" s="7">
        <f t="shared" si="18"/>
        <v>3.8738037452896723</v>
      </c>
      <c r="ER14" s="7">
        <f t="shared" si="18"/>
        <v>3.8350657078367756</v>
      </c>
      <c r="ES14" s="7">
        <f t="shared" si="18"/>
        <v>3.796715050758408</v>
      </c>
      <c r="ET14" s="7">
        <f t="shared" si="18"/>
        <v>3.7587479002508237</v>
      </c>
      <c r="EU14" s="7">
        <f t="shared" si="18"/>
        <v>3.7211604212483156</v>
      </c>
      <c r="EV14" s="7">
        <f t="shared" si="18"/>
        <v>3.6839488170358323</v>
      </c>
      <c r="EW14" s="7">
        <f t="shared" si="18"/>
        <v>3.6471093288654739</v>
      </c>
      <c r="EX14" s="7">
        <f t="shared" si="18"/>
        <v>3.6106382355768192</v>
      </c>
      <c r="EY14" s="7">
        <f t="shared" si="18"/>
        <v>3.574531853221051</v>
      </c>
    </row>
    <row r="15" spans="2:155" x14ac:dyDescent="0.3">
      <c r="B15" t="s">
        <v>2</v>
      </c>
      <c r="C15" s="2">
        <v>797</v>
      </c>
      <c r="D15" s="2">
        <v>797</v>
      </c>
      <c r="E15" s="2">
        <v>797</v>
      </c>
      <c r="F15" s="2">
        <v>797</v>
      </c>
      <c r="G15" s="2">
        <v>797</v>
      </c>
      <c r="H15" s="2">
        <v>797</v>
      </c>
      <c r="I15" s="2">
        <v>797</v>
      </c>
      <c r="J15" s="2">
        <v>797</v>
      </c>
      <c r="K15" s="2">
        <v>767.3</v>
      </c>
      <c r="L15" s="2">
        <v>767.3</v>
      </c>
      <c r="N15" s="2">
        <v>797</v>
      </c>
      <c r="O15" s="2">
        <v>797</v>
      </c>
      <c r="P15" s="2">
        <v>797</v>
      </c>
      <c r="Q15" s="2">
        <v>797</v>
      </c>
      <c r="R15" s="2">
        <v>767.3</v>
      </c>
      <c r="S15" s="2">
        <v>767.3</v>
      </c>
      <c r="T15" s="2">
        <v>767.3</v>
      </c>
      <c r="U15" s="2">
        <v>767.3</v>
      </c>
      <c r="V15" s="2">
        <v>767.3</v>
      </c>
      <c r="W15" s="2">
        <v>767.3</v>
      </c>
      <c r="X15" s="2">
        <v>767.3</v>
      </c>
      <c r="Y15" s="2">
        <v>767.3</v>
      </c>
      <c r="Z15" s="2">
        <v>767.3</v>
      </c>
      <c r="AA15" s="2">
        <v>767.3</v>
      </c>
    </row>
    <row r="16" spans="2:155" s="1" customFormat="1" x14ac:dyDescent="0.3">
      <c r="B16" s="1" t="s">
        <v>19</v>
      </c>
      <c r="C16" s="6">
        <f t="shared" ref="C16:J16" si="19">C14/C15</f>
        <v>-2.1329987452948559E-3</v>
      </c>
      <c r="D16" s="6">
        <f t="shared" si="19"/>
        <v>-4.4416562107904628E-3</v>
      </c>
      <c r="E16" s="6">
        <f t="shared" si="19"/>
        <v>-9.5357590966122976E-3</v>
      </c>
      <c r="F16" s="6">
        <f t="shared" si="19"/>
        <v>-7.4529485570890824E-3</v>
      </c>
      <c r="G16" s="6">
        <f t="shared" si="19"/>
        <v>-7.5282308657465494E-3</v>
      </c>
      <c r="H16" s="6">
        <f t="shared" si="19"/>
        <v>-7.5407779171894609E-3</v>
      </c>
      <c r="I16" s="6">
        <f t="shared" si="19"/>
        <v>-4.8933500627352574E-3</v>
      </c>
      <c r="J16" s="6">
        <f t="shared" si="19"/>
        <v>-4.6925972396486826E-3</v>
      </c>
      <c r="K16" s="6">
        <f t="shared" ref="K16:L16" si="20">K14/K15</f>
        <v>-1.0426169685911636E-3</v>
      </c>
      <c r="L16" s="6">
        <f t="shared" si="20"/>
        <v>-1.9066857813110905E-3</v>
      </c>
      <c r="N16" s="6">
        <f>N14/N15</f>
        <v>-6.5746549560853204E-3</v>
      </c>
      <c r="O16" s="6">
        <f>O14/O15</f>
        <v>-1.698870765370138E-2</v>
      </c>
      <c r="P16" s="6">
        <f>P14/P15</f>
        <v>-1.5069008782936009E-2</v>
      </c>
      <c r="Q16" s="6">
        <f>Q14/Q15</f>
        <v>-9.58594730238394E-3</v>
      </c>
      <c r="R16" s="6">
        <f t="shared" ref="R16:AA16" si="21">R14/R15</f>
        <v>-2.0695946826534586E-3</v>
      </c>
      <c r="S16" s="6">
        <f t="shared" si="21"/>
        <v>-9.2950931838915469E-4</v>
      </c>
      <c r="T16" s="6">
        <f t="shared" si="21"/>
        <v>2.6279763456275285E-3</v>
      </c>
      <c r="U16" s="6">
        <f t="shared" si="21"/>
        <v>5.1027837873061426E-3</v>
      </c>
      <c r="V16" s="6">
        <f t="shared" si="21"/>
        <v>7.9596595855597561E-3</v>
      </c>
      <c r="W16" s="6">
        <f t="shared" si="21"/>
        <v>1.0631251461488337E-2</v>
      </c>
      <c r="X16" s="6">
        <f t="shared" si="21"/>
        <v>1.2645169798163956E-2</v>
      </c>
      <c r="Y16" s="6">
        <f t="shared" si="21"/>
        <v>1.4492258009503786E-2</v>
      </c>
      <c r="Z16" s="6">
        <f t="shared" si="21"/>
        <v>1.5647934861432046E-2</v>
      </c>
      <c r="AA16" s="6">
        <f t="shared" si="21"/>
        <v>1.6863552336070519E-2</v>
      </c>
    </row>
    <row r="18" spans="2:30" x14ac:dyDescent="0.3">
      <c r="B18" s="1" t="s">
        <v>21</v>
      </c>
      <c r="C18" s="8"/>
      <c r="D18" s="8"/>
      <c r="E18" s="8">
        <f t="shared" ref="E18:H18" si="22">E3/C3-1</f>
        <v>1</v>
      </c>
      <c r="F18" s="8">
        <f t="shared" si="22"/>
        <v>0.71428571428571441</v>
      </c>
      <c r="G18" s="8">
        <f t="shared" si="22"/>
        <v>1.4444444444444446</v>
      </c>
      <c r="H18" s="8">
        <f t="shared" si="22"/>
        <v>0.37698412698412653</v>
      </c>
      <c r="I18" s="8">
        <f>I3/G3-1</f>
        <v>-0.20454545454545459</v>
      </c>
      <c r="J18" s="8">
        <f>J3/H3-1</f>
        <v>-0.71181556195965423</v>
      </c>
      <c r="K18" s="8">
        <f t="shared" ref="K18:L18" si="23">K3/I3-1</f>
        <v>-0.1428571428571429</v>
      </c>
      <c r="L18" s="8">
        <f t="shared" si="23"/>
        <v>3.5</v>
      </c>
      <c r="M18" s="1"/>
      <c r="O18" s="8">
        <f t="shared" ref="O18:AA18" si="24">O3/N3-1</f>
        <v>0.82278481012658222</v>
      </c>
      <c r="P18" s="8">
        <f t="shared" si="24"/>
        <v>0.82175925925925908</v>
      </c>
      <c r="Q18" s="8">
        <f t="shared" si="24"/>
        <v>-0.42820838627700131</v>
      </c>
      <c r="R18" s="8">
        <f t="shared" si="24"/>
        <v>0.66666666666666674</v>
      </c>
      <c r="S18" s="8">
        <f t="shared" si="24"/>
        <v>0.75</v>
      </c>
      <c r="T18" s="8">
        <f t="shared" si="24"/>
        <v>0.5</v>
      </c>
      <c r="U18" s="8">
        <f t="shared" si="24"/>
        <v>0.30000000000000004</v>
      </c>
      <c r="V18" s="8">
        <f t="shared" si="24"/>
        <v>0.19999999999999996</v>
      </c>
      <c r="W18" s="8">
        <f t="shared" si="24"/>
        <v>0.14999999999999991</v>
      </c>
      <c r="X18" s="8">
        <f t="shared" si="24"/>
        <v>0.10000000000000009</v>
      </c>
      <c r="Y18" s="8">
        <f t="shared" si="24"/>
        <v>8.0000000000000071E-2</v>
      </c>
      <c r="Z18" s="8">
        <f t="shared" si="24"/>
        <v>5.0000000000000044E-2</v>
      </c>
      <c r="AA18" s="8">
        <f t="shared" si="24"/>
        <v>5.0000000000000044E-2</v>
      </c>
    </row>
    <row r="19" spans="2:30" x14ac:dyDescent="0.3">
      <c r="B19" s="1" t="s">
        <v>20</v>
      </c>
      <c r="C19" s="8">
        <f t="shared" ref="C19:H19" si="25">C5/C3</f>
        <v>-0.11111111111111108</v>
      </c>
      <c r="D19" s="8">
        <f t="shared" si="25"/>
        <v>-0.21088435374149631</v>
      </c>
      <c r="E19" s="8">
        <f t="shared" si="25"/>
        <v>-1.7777777777777779</v>
      </c>
      <c r="F19" s="8">
        <f t="shared" si="25"/>
        <v>-7.14285714285713E-2</v>
      </c>
      <c r="G19" s="8">
        <f t="shared" si="25"/>
        <v>0.11363636363636373</v>
      </c>
      <c r="H19" s="8">
        <f t="shared" si="25"/>
        <v>0.15561959654178664</v>
      </c>
      <c r="I19" s="8">
        <f>I5/I3</f>
        <v>0.5714285714285714</v>
      </c>
      <c r="J19" s="8">
        <f>J5/J3</f>
        <v>0.8</v>
      </c>
      <c r="K19" s="8">
        <f t="shared" ref="K19:L19" si="26">K5/K3</f>
        <v>0.5</v>
      </c>
      <c r="L19" s="8">
        <f t="shared" si="26"/>
        <v>0.6</v>
      </c>
      <c r="M19" s="1"/>
      <c r="N19" s="8">
        <f t="shared" ref="N19:AA19" si="27">N5/N3</f>
        <v>-0.17299578059071716</v>
      </c>
      <c r="O19" s="8">
        <f t="shared" si="27"/>
        <v>-0.78240740740740733</v>
      </c>
      <c r="P19" s="8">
        <f t="shared" si="27"/>
        <v>0.13214739517153748</v>
      </c>
      <c r="Q19" s="8">
        <f t="shared" si="27"/>
        <v>0.62222222222222223</v>
      </c>
      <c r="R19" s="8">
        <f t="shared" si="27"/>
        <v>0.65</v>
      </c>
      <c r="S19" s="8">
        <f t="shared" si="27"/>
        <v>0.65</v>
      </c>
      <c r="T19" s="8">
        <f t="shared" si="27"/>
        <v>0.65</v>
      </c>
      <c r="U19" s="8">
        <f t="shared" si="27"/>
        <v>0.65</v>
      </c>
      <c r="V19" s="8">
        <f t="shared" si="27"/>
        <v>0.64999999999999991</v>
      </c>
      <c r="W19" s="8">
        <f t="shared" si="27"/>
        <v>0.65</v>
      </c>
      <c r="X19" s="8">
        <f t="shared" si="27"/>
        <v>0.65</v>
      </c>
      <c r="Y19" s="8">
        <f t="shared" si="27"/>
        <v>0.65</v>
      </c>
      <c r="Z19" s="8">
        <f t="shared" si="27"/>
        <v>0.65</v>
      </c>
      <c r="AA19" s="8">
        <f t="shared" si="27"/>
        <v>0.65</v>
      </c>
    </row>
    <row r="20" spans="2:30" x14ac:dyDescent="0.3">
      <c r="B20" s="5" t="s">
        <v>22</v>
      </c>
      <c r="C20" s="8">
        <f t="shared" ref="C20:H20" si="28">C8/C3</f>
        <v>-1.8888888888888891</v>
      </c>
      <c r="D20" s="8">
        <f t="shared" si="28"/>
        <v>-2.4761904761904754</v>
      </c>
      <c r="E20" s="8">
        <f t="shared" si="28"/>
        <v>-4.2222222222222223</v>
      </c>
      <c r="F20" s="8">
        <f t="shared" si="28"/>
        <v>-2.3055555555555545</v>
      </c>
      <c r="G20" s="8">
        <f t="shared" si="28"/>
        <v>-1.3181818181818181</v>
      </c>
      <c r="H20" s="8">
        <f t="shared" si="28"/>
        <v>-1.5187319884726227</v>
      </c>
      <c r="I20" s="8">
        <f>I8/I3</f>
        <v>-0.97142857142857153</v>
      </c>
      <c r="J20" s="8">
        <f>J8/J3</f>
        <v>-4.3999999999999995</v>
      </c>
      <c r="K20" s="8">
        <f t="shared" ref="K20:L20" si="29">K8/K3</f>
        <v>-0.43333333333333329</v>
      </c>
      <c r="L20" s="8">
        <f t="shared" si="29"/>
        <v>-0.34222222222222215</v>
      </c>
      <c r="M20" s="5"/>
      <c r="N20" s="8">
        <f t="shared" ref="N20:AA20" si="30">N8/N3</f>
        <v>-2.2531645569620253</v>
      </c>
      <c r="O20" s="8">
        <f t="shared" si="30"/>
        <v>-3.1041666666666665</v>
      </c>
      <c r="P20" s="8">
        <f t="shared" si="30"/>
        <v>-1.4066073697585768</v>
      </c>
      <c r="Q20" s="8">
        <f t="shared" si="30"/>
        <v>-1.7333333333333334</v>
      </c>
      <c r="R20" s="8">
        <f t="shared" si="30"/>
        <v>-0.28866666666666652</v>
      </c>
      <c r="S20" s="8">
        <f t="shared" si="30"/>
        <v>-5.7199999999999869E-2</v>
      </c>
      <c r="T20" s="8">
        <f t="shared" si="30"/>
        <v>0.10781333333333348</v>
      </c>
      <c r="U20" s="8">
        <f t="shared" si="30"/>
        <v>0.19122666666666682</v>
      </c>
      <c r="V20" s="8">
        <f t="shared" si="30"/>
        <v>0.2485733333333334</v>
      </c>
      <c r="W20" s="8">
        <f t="shared" si="30"/>
        <v>0.28697066666666676</v>
      </c>
      <c r="X20" s="8">
        <f t="shared" si="30"/>
        <v>0.31007253333333346</v>
      </c>
      <c r="Y20" s="8">
        <f t="shared" si="30"/>
        <v>0.32895739259259271</v>
      </c>
      <c r="Z20" s="8">
        <f t="shared" si="30"/>
        <v>0.33813003851851864</v>
      </c>
      <c r="AA20" s="8">
        <f t="shared" si="30"/>
        <v>0.34704060884656096</v>
      </c>
      <c r="AC20" t="s">
        <v>24</v>
      </c>
      <c r="AD20" s="8">
        <v>-0.01</v>
      </c>
    </row>
    <row r="21" spans="2:30" x14ac:dyDescent="0.3">
      <c r="B21" s="5" t="s">
        <v>23</v>
      </c>
      <c r="C21" s="8"/>
      <c r="D21" s="8"/>
      <c r="E21" s="8">
        <f t="shared" ref="E21:H21" si="31">E6/C6-1</f>
        <v>1.75</v>
      </c>
      <c r="F21" s="8">
        <f t="shared" si="31"/>
        <v>0.69069069069069067</v>
      </c>
      <c r="G21" s="8">
        <f t="shared" si="31"/>
        <v>0.36363636363636354</v>
      </c>
      <c r="H21" s="8">
        <f t="shared" si="31"/>
        <v>8.5257548845470765E-2</v>
      </c>
      <c r="I21" s="8">
        <f>I6/G6-1</f>
        <v>-9.9999999999999978E-2</v>
      </c>
      <c r="J21" s="8">
        <f>J6/H6-1</f>
        <v>-0.13256955810147308</v>
      </c>
      <c r="K21" s="8">
        <f t="shared" ref="K21:L21" si="32">K6/I6-1</f>
        <v>-0.46296296296296302</v>
      </c>
      <c r="L21" s="8">
        <f t="shared" si="32"/>
        <v>-0.19999999999999996</v>
      </c>
      <c r="M21" s="5"/>
      <c r="O21" s="8">
        <f t="shared" ref="O21:AA21" si="33">O6/N6-1</f>
        <v>1.0344827586206895</v>
      </c>
      <c r="P21" s="8">
        <f t="shared" si="33"/>
        <v>0.20737786640079769</v>
      </c>
      <c r="Q21" s="8">
        <f t="shared" si="33"/>
        <v>-0.11643270024772912</v>
      </c>
      <c r="R21" s="8">
        <f t="shared" si="33"/>
        <v>-0.33271028037383188</v>
      </c>
      <c r="S21" s="8">
        <f t="shared" si="33"/>
        <v>0.30000000000000004</v>
      </c>
      <c r="T21" s="8">
        <f t="shared" si="33"/>
        <v>0.14999999999999991</v>
      </c>
      <c r="U21" s="8">
        <f t="shared" si="33"/>
        <v>0.10000000000000009</v>
      </c>
      <c r="V21" s="8">
        <f t="shared" si="33"/>
        <v>5.0000000000000044E-2</v>
      </c>
      <c r="W21" s="8">
        <f t="shared" si="33"/>
        <v>4.0000000000000036E-2</v>
      </c>
      <c r="X21" s="8">
        <f t="shared" si="33"/>
        <v>3.0000000000000027E-2</v>
      </c>
      <c r="Y21" s="8">
        <f t="shared" si="33"/>
        <v>2.0000000000000018E-2</v>
      </c>
      <c r="Z21" s="8">
        <f t="shared" si="33"/>
        <v>2.0000000000000018E-2</v>
      </c>
      <c r="AA21" s="8">
        <f t="shared" si="33"/>
        <v>2.0000000000000018E-2</v>
      </c>
      <c r="AC21" t="s">
        <v>25</v>
      </c>
      <c r="AD21" s="8">
        <v>0.13</v>
      </c>
    </row>
    <row r="22" spans="2:30" x14ac:dyDescent="0.3">
      <c r="B22" s="5" t="s">
        <v>17</v>
      </c>
      <c r="C22" s="8">
        <f t="shared" ref="C22:H22" si="34">C13/C12</f>
        <v>0</v>
      </c>
      <c r="D22" s="8">
        <f t="shared" si="34"/>
        <v>2.7472527472527479E-2</v>
      </c>
      <c r="E22" s="8">
        <f t="shared" si="34"/>
        <v>1.2987012987012988E-2</v>
      </c>
      <c r="F22" s="8">
        <f t="shared" si="34"/>
        <v>1.9801980198019806E-2</v>
      </c>
      <c r="G22" s="8">
        <f t="shared" si="34"/>
        <v>1.6393442622950821E-2</v>
      </c>
      <c r="H22" s="8">
        <f t="shared" si="34"/>
        <v>-6.7001675041876057E-3</v>
      </c>
      <c r="I22" s="8">
        <f t="shared" ref="I22:J22" si="35">I13/I12</f>
        <v>2.5000000000000001E-2</v>
      </c>
      <c r="J22" s="8">
        <f t="shared" si="35"/>
        <v>9.6618357487922718E-2</v>
      </c>
      <c r="K22" s="8">
        <f t="shared" ref="K22:L22" si="36">K13/K12</f>
        <v>0</v>
      </c>
      <c r="L22" s="8">
        <f t="shared" si="36"/>
        <v>0.05</v>
      </c>
      <c r="M22" s="5"/>
      <c r="N22" s="8">
        <f>N13/N12</f>
        <v>1.8726591760299626E-2</v>
      </c>
      <c r="O22" s="8">
        <f t="shared" ref="O22:AA22" si="37">O13/O12</f>
        <v>1.5988372093023256E-2</v>
      </c>
      <c r="P22" s="8">
        <f t="shared" si="37"/>
        <v>4.971002485501242E-3</v>
      </c>
      <c r="Q22" s="8">
        <f t="shared" si="37"/>
        <v>6.142506142506142E-2</v>
      </c>
      <c r="R22" s="8">
        <f t="shared" si="37"/>
        <v>4.6246246246246271E-2</v>
      </c>
      <c r="S22" s="8">
        <f t="shared" si="37"/>
        <v>5.000000000000001E-2</v>
      </c>
      <c r="T22" s="8">
        <f t="shared" si="37"/>
        <v>0.05</v>
      </c>
      <c r="U22" s="8">
        <f t="shared" si="37"/>
        <v>0.2</v>
      </c>
      <c r="V22" s="8">
        <f t="shared" si="37"/>
        <v>0.2</v>
      </c>
      <c r="W22" s="8">
        <f t="shared" si="37"/>
        <v>0.2</v>
      </c>
      <c r="X22" s="8">
        <f t="shared" si="37"/>
        <v>0.2</v>
      </c>
      <c r="Y22" s="8">
        <f t="shared" si="37"/>
        <v>0.2</v>
      </c>
      <c r="Z22" s="8">
        <f t="shared" si="37"/>
        <v>0.2</v>
      </c>
      <c r="AA22" s="8">
        <f t="shared" si="37"/>
        <v>0.2</v>
      </c>
      <c r="AC22" t="s">
        <v>26</v>
      </c>
      <c r="AD22" s="2">
        <f>NPV(AD21,R14:EY14)</f>
        <v>52.138573428657295</v>
      </c>
    </row>
    <row r="23" spans="2:30" x14ac:dyDescent="0.3">
      <c r="AC23" t="s">
        <v>28</v>
      </c>
      <c r="AD23" s="2">
        <f>Main!D8</f>
        <v>1.8</v>
      </c>
    </row>
    <row r="24" spans="2:30" x14ac:dyDescent="0.3">
      <c r="AC24" t="s">
        <v>27</v>
      </c>
      <c r="AD24" s="2">
        <f>AD22+AD23</f>
        <v>53.938573428657293</v>
      </c>
    </row>
    <row r="25" spans="2:30" x14ac:dyDescent="0.3">
      <c r="AC25" t="s">
        <v>29</v>
      </c>
      <c r="AD25" s="3">
        <f>AD24/AA15</f>
        <v>7.0296589897898207E-2</v>
      </c>
    </row>
    <row r="26" spans="2:30" x14ac:dyDescent="0.3">
      <c r="AC26" t="s">
        <v>30</v>
      </c>
      <c r="AD26" s="3">
        <f>Main!D3</f>
        <v>4.6100000000000002E-2</v>
      </c>
    </row>
    <row r="27" spans="2:30" x14ac:dyDescent="0.3">
      <c r="AC27" s="1" t="s">
        <v>31</v>
      </c>
      <c r="AD27" s="9">
        <f>AD25/AD26-1</f>
        <v>0.52487179821905006</v>
      </c>
    </row>
    <row r="28" spans="2:30" x14ac:dyDescent="0.3">
      <c r="AC28" t="s">
        <v>32</v>
      </c>
      <c r="AD28" s="10" t="s">
        <v>47</v>
      </c>
    </row>
  </sheetData>
  <phoneticPr fontId="3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</dc:creator>
  <cp:lastModifiedBy>Anton</cp:lastModifiedBy>
  <dcterms:created xsi:type="dcterms:W3CDTF">2021-01-18T20:12:43Z</dcterms:created>
  <dcterms:modified xsi:type="dcterms:W3CDTF">2021-05-12T18:57:50Z</dcterms:modified>
</cp:coreProperties>
</file>