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7397C84-FF6D-4CCB-AD16-E53C5B560D52}" xr6:coauthVersionLast="47" xr6:coauthVersionMax="47" xr10:uidLastSave="{00000000-0000-0000-0000-000000000000}"/>
  <bookViews>
    <workbookView xWindow="-108" yWindow="-108" windowWidth="23256" windowHeight="12576" activeTab="1" xr2:uid="{5DBB63C4-9B1E-4218-AE7C-1A44CF0A90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" i="2" l="1"/>
  <c r="AP29" i="2"/>
  <c r="AO29" i="2"/>
  <c r="AN29" i="2"/>
  <c r="AM29" i="2"/>
  <c r="AL29" i="2"/>
  <c r="AK29" i="2"/>
  <c r="AJ29" i="2"/>
  <c r="N29" i="2"/>
  <c r="M29" i="2"/>
  <c r="L29" i="2"/>
  <c r="K29" i="2"/>
  <c r="J29" i="2"/>
  <c r="I29" i="2"/>
  <c r="H29" i="2"/>
  <c r="G29" i="2"/>
  <c r="F29" i="2"/>
  <c r="E29" i="2"/>
  <c r="D29" i="2"/>
  <c r="C29" i="2"/>
  <c r="BA5" i="2"/>
  <c r="AZ5" i="2"/>
  <c r="AY5" i="2"/>
  <c r="AX5" i="2"/>
  <c r="AW5" i="2"/>
  <c r="AV5" i="2"/>
  <c r="AU5" i="2"/>
  <c r="AT5" i="2"/>
  <c r="AS5" i="2"/>
  <c r="AR5" i="2"/>
  <c r="AQ5" i="2"/>
  <c r="AL17" i="2"/>
  <c r="AL12" i="2"/>
  <c r="AL5" i="2"/>
  <c r="AL8" i="2" s="1"/>
  <c r="AM17" i="2"/>
  <c r="AM12" i="2"/>
  <c r="AM5" i="2"/>
  <c r="AM8" i="2" s="1"/>
  <c r="AN17" i="2"/>
  <c r="AN12" i="2"/>
  <c r="AN5" i="2"/>
  <c r="AN8" i="2" s="1"/>
  <c r="AO17" i="2"/>
  <c r="AO12" i="2"/>
  <c r="AO5" i="2"/>
  <c r="AO8" i="2" s="1"/>
  <c r="BA17" i="2"/>
  <c r="AZ17" i="2"/>
  <c r="AY17" i="2"/>
  <c r="AX17" i="2"/>
  <c r="AW17" i="2"/>
  <c r="N12" i="2"/>
  <c r="L9" i="2"/>
  <c r="L12" i="2" s="1"/>
  <c r="K9" i="2"/>
  <c r="K12" i="2" s="1"/>
  <c r="I9" i="2"/>
  <c r="H9" i="2"/>
  <c r="H12" i="2" s="1"/>
  <c r="G9" i="2"/>
  <c r="G12" i="2" s="1"/>
  <c r="E9" i="2"/>
  <c r="D9" i="2"/>
  <c r="D12" i="2" s="1"/>
  <c r="C9" i="2"/>
  <c r="C12" i="2" s="1"/>
  <c r="M9" i="2"/>
  <c r="M12" i="2" s="1"/>
  <c r="J11" i="2"/>
  <c r="AK11" i="2" s="1"/>
  <c r="F11" i="2"/>
  <c r="AJ11" i="2" s="1"/>
  <c r="AP5" i="2"/>
  <c r="D7" i="1"/>
  <c r="D6" i="1"/>
  <c r="D4" i="1"/>
  <c r="AQ15" i="2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J3" i="2"/>
  <c r="M5" i="2"/>
  <c r="L22" i="2"/>
  <c r="K22" i="2"/>
  <c r="I22" i="2"/>
  <c r="H22" i="2"/>
  <c r="G22" i="2"/>
  <c r="AL13" i="2" l="1"/>
  <c r="AL16" i="2" s="1"/>
  <c r="AL18" i="2" s="1"/>
  <c r="AM13" i="2"/>
  <c r="AM16" i="2" s="1"/>
  <c r="AM18" i="2" s="1"/>
  <c r="AN13" i="2"/>
  <c r="AN16" i="2" s="1"/>
  <c r="AN18" i="2" s="1"/>
  <c r="AO13" i="2"/>
  <c r="AO16" i="2" s="1"/>
  <c r="AO18" i="2" s="1"/>
  <c r="F9" i="2"/>
  <c r="J9" i="2"/>
  <c r="I12" i="2"/>
  <c r="E12" i="2"/>
  <c r="BD30" i="2"/>
  <c r="AV17" i="2"/>
  <c r="AU17" i="2"/>
  <c r="AT17" i="2"/>
  <c r="AS17" i="2"/>
  <c r="AR17" i="2"/>
  <c r="AQ17" i="2"/>
  <c r="AP17" i="2"/>
  <c r="N17" i="2"/>
  <c r="M17" i="2"/>
  <c r="AQ10" i="2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L27" i="2"/>
  <c r="K27" i="2"/>
  <c r="I27" i="2"/>
  <c r="H27" i="2"/>
  <c r="G27" i="2"/>
  <c r="E27" i="2"/>
  <c r="D27" i="2"/>
  <c r="C27" i="2"/>
  <c r="F6" i="2" l="1"/>
  <c r="F14" i="2"/>
  <c r="AJ14" i="2" s="1"/>
  <c r="F10" i="2"/>
  <c r="F7" i="2"/>
  <c r="AJ7" i="2" s="1"/>
  <c r="F4" i="2"/>
  <c r="AJ4" i="2" s="1"/>
  <c r="F3" i="2"/>
  <c r="N3" i="2" s="1"/>
  <c r="N5" i="2" s="1"/>
  <c r="AJ17" i="2"/>
  <c r="F17" i="2"/>
  <c r="J17" i="2"/>
  <c r="J15" i="2"/>
  <c r="AK15" i="2" s="1"/>
  <c r="J14" i="2"/>
  <c r="AK14" i="2" s="1"/>
  <c r="J10" i="2"/>
  <c r="AK10" i="2" s="1"/>
  <c r="AK17" i="2"/>
  <c r="J6" i="2"/>
  <c r="J7" i="2"/>
  <c r="AK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AK3" i="2"/>
  <c r="J4" i="2"/>
  <c r="AK4" i="2" s="1"/>
  <c r="C15" i="2"/>
  <c r="F15" i="2" s="1"/>
  <c r="C17" i="2"/>
  <c r="C5" i="2"/>
  <c r="C8" i="2" s="1"/>
  <c r="D17" i="2"/>
  <c r="D5" i="2"/>
  <c r="D8" i="2" s="1"/>
  <c r="E17" i="2"/>
  <c r="E5" i="2"/>
  <c r="E8" i="2" s="1"/>
  <c r="I17" i="2"/>
  <c r="I5" i="2"/>
  <c r="I8" i="2" s="1"/>
  <c r="G17" i="2"/>
  <c r="G5" i="2"/>
  <c r="G8" i="2" s="1"/>
  <c r="K23" i="2"/>
  <c r="I23" i="2"/>
  <c r="H23" i="2"/>
  <c r="G23" i="2"/>
  <c r="L23" i="2"/>
  <c r="K17" i="2"/>
  <c r="K5" i="2"/>
  <c r="K8" i="2" s="1"/>
  <c r="D21" i="2" l="1"/>
  <c r="D13" i="2"/>
  <c r="C21" i="2"/>
  <c r="C13" i="2"/>
  <c r="G21" i="2"/>
  <c r="G13" i="2"/>
  <c r="I21" i="2"/>
  <c r="I13" i="2"/>
  <c r="K21" i="2"/>
  <c r="K13" i="2"/>
  <c r="E21" i="2"/>
  <c r="E13" i="2"/>
  <c r="J12" i="2"/>
  <c r="AJ10" i="2"/>
  <c r="F12" i="2"/>
  <c r="AJ3" i="2"/>
  <c r="AJ5" i="2" s="1"/>
  <c r="AK6" i="2"/>
  <c r="AK27" i="2" s="1"/>
  <c r="J22" i="2"/>
  <c r="N6" i="2"/>
  <c r="G20" i="2"/>
  <c r="K20" i="2"/>
  <c r="AJ9" i="2"/>
  <c r="I20" i="2"/>
  <c r="M22" i="2"/>
  <c r="AM23" i="2"/>
  <c r="J27" i="2"/>
  <c r="C20" i="2"/>
  <c r="J5" i="2"/>
  <c r="J8" i="2" s="1"/>
  <c r="AJ15" i="2"/>
  <c r="M8" i="2"/>
  <c r="M13" i="2" s="1"/>
  <c r="D20" i="2"/>
  <c r="AJ6" i="2"/>
  <c r="F27" i="2"/>
  <c r="E20" i="2"/>
  <c r="AK5" i="2"/>
  <c r="M20" i="2"/>
  <c r="M23" i="2"/>
  <c r="F5" i="2"/>
  <c r="F20" i="2" s="1"/>
  <c r="J23" i="2"/>
  <c r="N23" i="2"/>
  <c r="H17" i="2"/>
  <c r="L17" i="2"/>
  <c r="H5" i="2"/>
  <c r="L5" i="2"/>
  <c r="L20" i="2" s="1"/>
  <c r="J21" i="2" l="1"/>
  <c r="J13" i="2"/>
  <c r="J16" i="2" s="1"/>
  <c r="J18" i="2" s="1"/>
  <c r="AJ12" i="2"/>
  <c r="AK23" i="2"/>
  <c r="AJ27" i="2"/>
  <c r="AK22" i="2"/>
  <c r="J20" i="2"/>
  <c r="AQ3" i="2"/>
  <c r="AR3" i="2" s="1"/>
  <c r="AS3" i="2" s="1"/>
  <c r="AT3" i="2" s="1"/>
  <c r="AU3" i="2" s="1"/>
  <c r="AV3" i="2" s="1"/>
  <c r="AW3" i="2" s="1"/>
  <c r="C16" i="2"/>
  <c r="C18" i="2" s="1"/>
  <c r="C25" i="2"/>
  <c r="D16" i="2"/>
  <c r="D18" i="2" s="1"/>
  <c r="D25" i="2"/>
  <c r="AL23" i="2"/>
  <c r="M21" i="2"/>
  <c r="N4" i="2"/>
  <c r="K16" i="2"/>
  <c r="K18" i="2" s="1"/>
  <c r="K25" i="2"/>
  <c r="I16" i="2"/>
  <c r="I18" i="2" s="1"/>
  <c r="I25" i="2"/>
  <c r="AJ8" i="2"/>
  <c r="AJ20" i="2"/>
  <c r="AM20" i="2"/>
  <c r="M27" i="2"/>
  <c r="AK9" i="2"/>
  <c r="AK12" i="2" s="1"/>
  <c r="G16" i="2"/>
  <c r="G18" i="2" s="1"/>
  <c r="G25" i="2"/>
  <c r="E16" i="2"/>
  <c r="E18" i="2" s="1"/>
  <c r="E25" i="2"/>
  <c r="AN23" i="2"/>
  <c r="AK20" i="2"/>
  <c r="AK8" i="2"/>
  <c r="F8" i="2"/>
  <c r="H8" i="2"/>
  <c r="H20" i="2"/>
  <c r="L8" i="2"/>
  <c r="D8" i="1"/>
  <c r="BD27" i="2" s="1"/>
  <c r="D5" i="1"/>
  <c r="F3" i="1"/>
  <c r="L21" i="2" l="1"/>
  <c r="L13" i="2"/>
  <c r="L25" i="2" s="1"/>
  <c r="H21" i="2"/>
  <c r="H13" i="2"/>
  <c r="AK13" i="2"/>
  <c r="AX3" i="2"/>
  <c r="AW4" i="2"/>
  <c r="AW23" i="2"/>
  <c r="F21" i="2"/>
  <c r="F13" i="2"/>
  <c r="F25" i="2" s="1"/>
  <c r="AJ13" i="2"/>
  <c r="J25" i="2"/>
  <c r="N27" i="2"/>
  <c r="N22" i="2"/>
  <c r="AL20" i="2"/>
  <c r="M16" i="2"/>
  <c r="M18" i="2" s="1"/>
  <c r="AO23" i="2"/>
  <c r="AN20" i="2"/>
  <c r="AJ21" i="2"/>
  <c r="N8" i="2"/>
  <c r="N13" i="2" s="1"/>
  <c r="N20" i="2"/>
  <c r="H25" i="2"/>
  <c r="D9" i="1"/>
  <c r="AK21" i="2"/>
  <c r="AW20" i="2" l="1"/>
  <c r="AX4" i="2"/>
  <c r="AY3" i="2"/>
  <c r="AX23" i="2"/>
  <c r="H16" i="2"/>
  <c r="H18" i="2" s="1"/>
  <c r="AK18" i="2" s="1"/>
  <c r="AM22" i="2"/>
  <c r="AL27" i="2"/>
  <c r="AL22" i="2"/>
  <c r="AP23" i="2"/>
  <c r="AO20" i="2"/>
  <c r="AJ16" i="2"/>
  <c r="AJ25" i="2"/>
  <c r="M25" i="2"/>
  <c r="N14" i="2"/>
  <c r="N21" i="2"/>
  <c r="AK16" i="2"/>
  <c r="AK25" i="2"/>
  <c r="F16" i="2"/>
  <c r="F18" i="2" s="1"/>
  <c r="AJ18" i="2" s="1"/>
  <c r="L16" i="2"/>
  <c r="L18" i="2" s="1"/>
  <c r="AY23" i="2" l="1"/>
  <c r="AZ3" i="2"/>
  <c r="AX20" i="2"/>
  <c r="AL21" i="2"/>
  <c r="AM27" i="2"/>
  <c r="AM21" i="2"/>
  <c r="AP20" i="2"/>
  <c r="AQ23" i="2"/>
  <c r="AQ4" i="2"/>
  <c r="AZ23" i="2" l="1"/>
  <c r="BA3" i="2"/>
  <c r="AY20" i="2"/>
  <c r="AY4" i="2"/>
  <c r="AN22" i="2"/>
  <c r="AN27" i="2"/>
  <c r="AN21" i="2"/>
  <c r="N25" i="2"/>
  <c r="N16" i="2"/>
  <c r="N18" i="2" s="1"/>
  <c r="AQ20" i="2"/>
  <c r="AR4" i="2"/>
  <c r="AR23" i="2"/>
  <c r="AZ20" i="2" l="1"/>
  <c r="AZ4" i="2"/>
  <c r="BA23" i="2"/>
  <c r="BA4" i="2"/>
  <c r="AO27" i="2"/>
  <c r="AO22" i="2"/>
  <c r="AO21" i="2"/>
  <c r="AS23" i="2"/>
  <c r="AL25" i="2"/>
  <c r="AR20" i="2"/>
  <c r="BA20" i="2" l="1"/>
  <c r="AQ6" i="2"/>
  <c r="AP22" i="2"/>
  <c r="AP27" i="2"/>
  <c r="AP8" i="2"/>
  <c r="AP21" i="2" s="1"/>
  <c r="AS20" i="2"/>
  <c r="AS4" i="2"/>
  <c r="AT23" i="2"/>
  <c r="AT4" i="2"/>
  <c r="AR6" i="2" l="1"/>
  <c r="AQ8" i="2"/>
  <c r="AQ21" i="2" s="1"/>
  <c r="AQ27" i="2"/>
  <c r="AQ22" i="2"/>
  <c r="AM25" i="2"/>
  <c r="AU23" i="2"/>
  <c r="AT20" i="2"/>
  <c r="AS6" i="2" l="1"/>
  <c r="AR8" i="2"/>
  <c r="AR21" i="2" s="1"/>
  <c r="AR27" i="2"/>
  <c r="AR22" i="2"/>
  <c r="AV23" i="2"/>
  <c r="AV4" i="2"/>
  <c r="AU4" i="2"/>
  <c r="AU20" i="2"/>
  <c r="AT6" i="2" l="1"/>
  <c r="AS22" i="2"/>
  <c r="AS8" i="2"/>
  <c r="AS21" i="2" s="1"/>
  <c r="AS27" i="2"/>
  <c r="AV20" i="2"/>
  <c r="AN25" i="2" l="1"/>
  <c r="AU6" i="2"/>
  <c r="AT8" i="2"/>
  <c r="AT21" i="2" s="1"/>
  <c r="AT27" i="2"/>
  <c r="AT22" i="2"/>
  <c r="AV6" i="2" l="1"/>
  <c r="AW6" i="2" s="1"/>
  <c r="AU8" i="2"/>
  <c r="AU21" i="2" s="1"/>
  <c r="AU27" i="2"/>
  <c r="AU22" i="2"/>
  <c r="AW22" i="2" l="1"/>
  <c r="AX6" i="2"/>
  <c r="AW27" i="2"/>
  <c r="AW8" i="2"/>
  <c r="AW21" i="2" s="1"/>
  <c r="AV27" i="2"/>
  <c r="AV22" i="2"/>
  <c r="AV8" i="2"/>
  <c r="AV21" i="2" s="1"/>
  <c r="AX22" i="2" l="1"/>
  <c r="AY6" i="2"/>
  <c r="AX27" i="2"/>
  <c r="AX8" i="2"/>
  <c r="AX21" i="2" s="1"/>
  <c r="AO25" i="2"/>
  <c r="AY22" i="2" l="1"/>
  <c r="AY27" i="2"/>
  <c r="AZ6" i="2"/>
  <c r="AY8" i="2"/>
  <c r="AY21" i="2" s="1"/>
  <c r="AP12" i="2"/>
  <c r="AP13" i="2" s="1"/>
  <c r="AP25" i="2" s="1"/>
  <c r="BA6" i="2" l="1"/>
  <c r="AZ27" i="2"/>
  <c r="AZ22" i="2"/>
  <c r="AZ8" i="2"/>
  <c r="AZ21" i="2" s="1"/>
  <c r="AP16" i="2"/>
  <c r="AP18" i="2" s="1"/>
  <c r="BA22" i="2" l="1"/>
  <c r="BA27" i="2"/>
  <c r="BA8" i="2"/>
  <c r="BA21" i="2" s="1"/>
  <c r="AQ9" i="2"/>
  <c r="AQ12" i="2" s="1"/>
  <c r="AQ13" i="2" s="1"/>
  <c r="AQ25" i="2" l="1"/>
  <c r="AQ16" i="2" l="1"/>
  <c r="AQ29" i="2" s="1"/>
  <c r="AQ18" i="2" l="1"/>
  <c r="AR9" i="2"/>
  <c r="AR12" i="2" l="1"/>
  <c r="AR13" i="2" s="1"/>
  <c r="AR14" i="2" l="1"/>
  <c r="AR25" i="2" s="1"/>
  <c r="AR16" i="2" l="1"/>
  <c r="AR29" i="2" s="1"/>
  <c r="AR18" i="2"/>
  <c r="AS9" i="2"/>
  <c r="AS12" i="2" s="1"/>
  <c r="AS13" i="2" s="1"/>
  <c r="AS14" i="2" s="1"/>
  <c r="AS25" i="2" l="1"/>
  <c r="AS16" i="2" l="1"/>
  <c r="AS29" i="2" s="1"/>
  <c r="AS18" i="2" l="1"/>
  <c r="AT9" i="2"/>
  <c r="AT12" i="2" s="1"/>
  <c r="AT13" i="2" s="1"/>
  <c r="AT14" i="2" s="1"/>
  <c r="AT25" i="2" l="1"/>
  <c r="AT16" i="2" l="1"/>
  <c r="AT29" i="2" s="1"/>
  <c r="AT18" i="2" l="1"/>
  <c r="AU9" i="2"/>
  <c r="AU12" i="2" s="1"/>
  <c r="AU13" i="2" s="1"/>
  <c r="AU14" i="2" s="1"/>
  <c r="AU25" i="2" l="1"/>
  <c r="AU16" i="2" l="1"/>
  <c r="AU18" i="2" l="1"/>
  <c r="AU29" i="2"/>
  <c r="AV9" i="2"/>
  <c r="AV12" i="2" l="1"/>
  <c r="AV13" i="2" s="1"/>
  <c r="AV14" i="2" l="1"/>
  <c r="AV25" i="2" s="1"/>
  <c r="AV16" i="2"/>
  <c r="AV29" i="2" s="1"/>
  <c r="AV18" i="2" l="1"/>
  <c r="AW9" i="2"/>
  <c r="AW12" i="2" l="1"/>
  <c r="AW13" i="2" s="1"/>
  <c r="AW14" i="2" s="1"/>
  <c r="AW25" i="2" l="1"/>
  <c r="AW16" i="2" l="1"/>
  <c r="AW29" i="2" s="1"/>
  <c r="AW18" i="2" l="1"/>
  <c r="AX9" i="2"/>
  <c r="AX12" i="2" l="1"/>
  <c r="AX13" i="2" s="1"/>
  <c r="AX14" i="2" s="1"/>
  <c r="AX25" i="2" l="1"/>
  <c r="AX16" i="2" l="1"/>
  <c r="AX29" i="2" s="1"/>
  <c r="AX18" i="2" l="1"/>
  <c r="AY9" i="2"/>
  <c r="AY12" i="2" l="1"/>
  <c r="AY13" i="2" s="1"/>
  <c r="AY14" i="2" s="1"/>
  <c r="AY25" i="2" l="1"/>
  <c r="AY16" i="2" l="1"/>
  <c r="AY29" i="2" s="1"/>
  <c r="AY18" i="2" l="1"/>
  <c r="AZ9" i="2"/>
  <c r="AZ12" i="2" l="1"/>
  <c r="AZ13" i="2" s="1"/>
  <c r="AZ14" i="2" s="1"/>
  <c r="AZ25" i="2" l="1"/>
  <c r="AZ16" i="2" l="1"/>
  <c r="AZ29" i="2" s="1"/>
  <c r="AZ18" i="2" l="1"/>
  <c r="BA9" i="2"/>
  <c r="BA12" i="2" l="1"/>
  <c r="BA13" i="2" s="1"/>
  <c r="BA14" i="2" s="1"/>
  <c r="BA25" i="2" l="1"/>
  <c r="BA16" i="2" l="1"/>
  <c r="BA29" i="2" s="1"/>
  <c r="BB16" i="2" l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BD26" i="2" s="1"/>
  <c r="BD28" i="2" s="1"/>
  <c r="BD29" i="2" s="1"/>
  <c r="BD31" i="2" s="1"/>
  <c r="B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J3" authorId="0" shapeId="0" xr:uid="{A6E7ACCA-941E-4962-BDD0-0BE302112158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what happened?</t>
        </r>
      </text>
    </comment>
    <comment ref="C15" authorId="0" shapeId="0" xr:uid="{5766BCDC-0CE3-484A-9AE3-E8B157971B75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loss from discontinued operations</t>
        </r>
      </text>
    </comment>
  </commentList>
</comments>
</file>

<file path=xl/sharedStrings.xml><?xml version="1.0" encoding="utf-8"?>
<sst xmlns="http://schemas.openxmlformats.org/spreadsheetml/2006/main" count="79" uniqueCount="74">
  <si>
    <t>GM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</si>
  <si>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</si>
  <si>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</si>
  <si>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</si>
  <si>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</si>
  <si>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</si>
  <si>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</si>
  <si>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</si>
  <si>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</si>
  <si>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</si>
  <si>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</si>
  <si>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</si>
  <si>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</si>
  <si>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</si>
  <si>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</si>
  <si>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</si>
  <si>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</si>
  <si>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</si>
  <si>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</si>
  <si>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</si>
  <si>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</si>
  <si>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</si>
  <si>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</si>
  <si>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SG&amp;A</t>
  </si>
  <si>
    <t>Other operating expense</t>
  </si>
  <si>
    <t>Operating profit</t>
  </si>
  <si>
    <t>Interest income</t>
  </si>
  <si>
    <t>Interest expense</t>
  </si>
  <si>
    <t>Pretax income</t>
  </si>
  <si>
    <t>Taxes</t>
  </si>
  <si>
    <t>Net income</t>
  </si>
  <si>
    <t>Minority interest</t>
  </si>
  <si>
    <t>Gross profit</t>
  </si>
  <si>
    <t>EPS</t>
  </si>
  <si>
    <t>Gross Margin</t>
  </si>
  <si>
    <t>Operating Margin</t>
  </si>
  <si>
    <t>Revenue y/y</t>
  </si>
  <si>
    <t>SG&amp;A Margin</t>
  </si>
  <si>
    <t>Maturity</t>
  </si>
  <si>
    <t>Discount rate</t>
  </si>
  <si>
    <t>NPV</t>
  </si>
  <si>
    <t>Value</t>
  </si>
  <si>
    <t>Per share</t>
  </si>
  <si>
    <t>Current price</t>
  </si>
  <si>
    <t>Variance</t>
  </si>
  <si>
    <t>Today</t>
  </si>
  <si>
    <t>Earnings</t>
  </si>
  <si>
    <t>Net cash</t>
  </si>
  <si>
    <t>Consensus</t>
  </si>
  <si>
    <t>SG&amp;A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</si>
  <si>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</si>
  <si>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</si>
  <si>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</si>
  <si>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</si>
  <si>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</si>
  <si>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</si>
  <si>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</si>
  <si>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</si>
  <si>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</si>
  <si>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</si>
  <si>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</si>
  <si>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</si>
  <si>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</si>
  <si>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</si>
  <si>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</si>
  <si>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</si>
  <si>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</si>
  <si>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</si>
  <si>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</si>
  <si>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</si>
  <si>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Finance income</t>
  </si>
  <si>
    <t>Total other income</t>
  </si>
  <si>
    <t>Net Margin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</si>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</sst>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/>
    <xf numFmtId="3" fontId="4" fillId="2" borderId="1" xfId="0" applyNumberFormat="1" applyFont="1" applyFill="1" applyBorder="1"/>
    <xf numFmtId="3" fontId="5" fillId="2" borderId="1" xfId="0" applyNumberFormat="1" applyFont="1" applyFill="1" applyBorder="1"/>
    <xf numFmtId="4" fontId="4" fillId="2" borderId="1" xfId="0" applyNumberFormat="1" applyFont="1" applyFill="1" applyBorder="1"/>
    <xf numFmtId="9" fontId="4" fillId="2" borderId="1" xfId="0" applyNumberFormat="1" applyFont="1" applyFill="1" applyBorder="1"/>
    <xf numFmtId="9" fontId="5" fillId="2" borderId="1" xfId="0" applyNumberFormat="1" applyFont="1" applyFill="1" applyBorder="1"/>
    <xf numFmtId="164" fontId="5" fillId="2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0</xdr:rowOff>
    </xdr:from>
    <xdr:to>
      <xdr:col>13</xdr:col>
      <xdr:colOff>30480</xdr:colOff>
      <xdr:row>35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30AF02-4302-47B8-8B70-5DBB752371F0}"/>
            </a:ext>
          </a:extLst>
        </xdr:cNvPr>
        <xdr:cNvCxnSpPr/>
      </xdr:nvCxnSpPr>
      <xdr:spPr>
        <a:xfrm>
          <a:off x="880872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</xdr:colOff>
      <xdr:row>0</xdr:row>
      <xdr:rowOff>0</xdr:rowOff>
    </xdr:from>
    <xdr:to>
      <xdr:col>42</xdr:col>
      <xdr:colOff>22860</xdr:colOff>
      <xdr:row>35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7A8489-EAF1-D483-A707-8F7BFA94DD95}"/>
            </a:ext>
          </a:extLst>
        </xdr:cNvPr>
        <xdr:cNvCxnSpPr/>
      </xdr:nvCxnSpPr>
      <xdr:spPr>
        <a:xfrm>
          <a:off x="26479500" y="0"/>
          <a:ext cx="0" cy="649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6529-6E69-4632-9D6B-FFD54D306A12}">
  <dimension ref="B2:G9"/>
  <sheetViews>
    <sheetView workbookViewId="0">
      <selection activeCell="E6" sqref="E6"/>
    </sheetView>
  </sheetViews>
  <sheetFormatPr defaultRowHeight="14.4" x14ac:dyDescent="0.3"/>
  <cols>
    <col min="1" max="4" width="8.88671875" style="1"/>
    <col min="5" max="7" width="15.77734375" style="10" customWidth="1"/>
    <col min="8" max="16384" width="8.88671875" style="1"/>
  </cols>
  <sheetData>
    <row r="2" spans="2:7" x14ac:dyDescent="0.3">
      <c r="E2" s="10" t="s">
        <v>8</v>
      </c>
      <c r="F2" s="10" t="s">
        <v>45</v>
      </c>
      <c r="G2" s="10" t="s">
        <v>46</v>
      </c>
    </row>
    <row r="3" spans="2:7" x14ac:dyDescent="0.3">
      <c r="B3" s="3" t="s">
        <v>0</v>
      </c>
      <c r="C3" s="1" t="s">
        <v>1</v>
      </c>
      <c r="D3" s="9">
        <v>45.55</v>
      </c>
      <c r="E3" s="11">
        <v>45771</v>
      </c>
      <c r="F3" s="11">
        <f ca="1">TODAY()</f>
        <v>45771</v>
      </c>
      <c r="G3" s="11">
        <v>45776</v>
      </c>
    </row>
    <row r="4" spans="2:7" x14ac:dyDescent="0.3">
      <c r="C4" s="1" t="s">
        <v>2</v>
      </c>
      <c r="D4" s="5">
        <f>995</f>
        <v>995</v>
      </c>
      <c r="E4" s="10" t="s">
        <v>65</v>
      </c>
    </row>
    <row r="5" spans="2:7" x14ac:dyDescent="0.3">
      <c r="C5" s="1" t="s">
        <v>3</v>
      </c>
      <c r="D5" s="5">
        <f>D3*D4</f>
        <v>45322.25</v>
      </c>
    </row>
    <row r="6" spans="2:7" x14ac:dyDescent="0.3">
      <c r="C6" s="1" t="s">
        <v>4</v>
      </c>
      <c r="D6" s="5">
        <f>19872+7265</f>
        <v>27137</v>
      </c>
      <c r="E6" s="10" t="s">
        <v>65</v>
      </c>
    </row>
    <row r="7" spans="2:7" x14ac:dyDescent="0.3">
      <c r="C7" s="1" t="s">
        <v>5</v>
      </c>
      <c r="D7" s="5">
        <f>2141+37291+13327+76973</f>
        <v>129732</v>
      </c>
      <c r="E7" s="10" t="s">
        <v>65</v>
      </c>
    </row>
    <row r="8" spans="2:7" x14ac:dyDescent="0.3">
      <c r="C8" s="1" t="s">
        <v>6</v>
      </c>
      <c r="D8" s="5">
        <f>D6-D7</f>
        <v>-102595</v>
      </c>
    </row>
    <row r="9" spans="2:7" x14ac:dyDescent="0.3">
      <c r="C9" s="1" t="s">
        <v>7</v>
      </c>
      <c r="D9" s="5">
        <f>D5-D8</f>
        <v>147917.25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ACC4-C9EB-4BE2-A913-9E909D42D412}">
  <dimension ref="B2:EB32"/>
  <sheetViews>
    <sheetView tabSelected="1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T25" sqref="AT25"/>
    </sheetView>
  </sheetViews>
  <sheetFormatPr defaultRowHeight="14.4" x14ac:dyDescent="0.3"/>
  <cols>
    <col min="1" max="1" width="8.88671875" style="1"/>
    <col min="2" max="2" width="21.33203125" style="1" bestFit="1" customWidth="1"/>
    <col min="3" max="3" width="8.88671875" style="1" customWidth="1"/>
    <col min="4" max="54" width="8.88671875" style="1"/>
    <col min="55" max="55" width="11.88671875" style="1" bestFit="1" customWidth="1"/>
    <col min="56" max="56" width="16.44140625" style="1" bestFit="1" customWidth="1"/>
    <col min="57" max="16384" width="8.88671875" style="1"/>
  </cols>
  <sheetData>
    <row r="2" spans="2:132" x14ac:dyDescent="0.3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9</v>
      </c>
      <c r="M2" s="2" t="s">
        <v>20</v>
      </c>
      <c r="N2" s="2" t="s">
        <v>21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62</v>
      </c>
      <c r="AB2" s="2" t="s">
        <v>63</v>
      </c>
      <c r="AC2" s="2" t="s">
        <v>64</v>
      </c>
      <c r="AD2" s="2" t="s">
        <v>65</v>
      </c>
      <c r="AE2" s="2" t="s">
        <v>66</v>
      </c>
      <c r="AF2" s="2" t="s">
        <v>67</v>
      </c>
      <c r="AG2" s="2" t="s">
        <v>68</v>
      </c>
      <c r="AH2" s="2" t="s">
        <v>69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132" s="3" customFormat="1" x14ac:dyDescent="0.3">
      <c r="B3" s="3" t="s">
        <v>10</v>
      </c>
      <c r="C3" s="4">
        <v>36099</v>
      </c>
      <c r="D3" s="4">
        <v>36760</v>
      </c>
      <c r="E3" s="4">
        <v>35791</v>
      </c>
      <c r="F3" s="4">
        <f>147049-E3-D3-C3</f>
        <v>38399</v>
      </c>
      <c r="G3" s="4">
        <v>34878</v>
      </c>
      <c r="H3" s="4">
        <v>36060</v>
      </c>
      <c r="I3" s="4">
        <v>35473</v>
      </c>
      <c r="J3" s="4">
        <f>137237-I3-H3-G3</f>
        <v>30826</v>
      </c>
      <c r="K3" s="4">
        <v>32709</v>
      </c>
      <c r="L3" s="4">
        <v>16778</v>
      </c>
      <c r="M3" s="4">
        <v>35480</v>
      </c>
      <c r="N3" s="4">
        <f>F3*1.01</f>
        <v>38782.99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J3" s="4">
        <f>SUM(C3:F3)</f>
        <v>147049</v>
      </c>
      <c r="AK3" s="4">
        <f>SUM(G3:J3)</f>
        <v>137237</v>
      </c>
      <c r="AL3" s="4">
        <v>122485</v>
      </c>
      <c r="AM3" s="4">
        <v>127004</v>
      </c>
      <c r="AN3" s="4">
        <v>156735</v>
      </c>
      <c r="AO3" s="4">
        <v>171842</v>
      </c>
      <c r="AP3" s="4">
        <v>187442</v>
      </c>
      <c r="AQ3" s="4">
        <f t="shared" ref="AQ3:AV3" si="0">AP3*1.01</f>
        <v>189316.42</v>
      </c>
      <c r="AR3" s="4">
        <f t="shared" si="0"/>
        <v>191209.58420000001</v>
      </c>
      <c r="AS3" s="4">
        <f t="shared" si="0"/>
        <v>193121.68004200002</v>
      </c>
      <c r="AT3" s="4">
        <f t="shared" si="0"/>
        <v>195052.89684242001</v>
      </c>
      <c r="AU3" s="4">
        <f t="shared" si="0"/>
        <v>197003.42581084423</v>
      </c>
      <c r="AV3" s="4">
        <f t="shared" si="0"/>
        <v>198973.46006895267</v>
      </c>
      <c r="AW3" s="4">
        <f t="shared" ref="AW3" si="1">AV3*1.01</f>
        <v>200963.19466964219</v>
      </c>
      <c r="AX3" s="4">
        <f t="shared" ref="AX3" si="2">AW3*1.01</f>
        <v>202972.82661633863</v>
      </c>
      <c r="AY3" s="4">
        <f t="shared" ref="AY3" si="3">AX3*1.01</f>
        <v>205002.55488250201</v>
      </c>
      <c r="AZ3" s="4">
        <f t="shared" ref="AZ3" si="4">AY3*1.01</f>
        <v>207052.58043132702</v>
      </c>
      <c r="BA3" s="4">
        <f t="shared" ref="BA3" si="5">AZ3*1.01</f>
        <v>209123.1062356403</v>
      </c>
    </row>
    <row r="4" spans="2:132" x14ac:dyDescent="0.3">
      <c r="B4" s="1" t="s">
        <v>22</v>
      </c>
      <c r="C4" s="5">
        <v>30184</v>
      </c>
      <c r="D4" s="5">
        <v>30071</v>
      </c>
      <c r="E4" s="5">
        <v>28533</v>
      </c>
      <c r="F4" s="5">
        <f>120656-E4-D4-C4</f>
        <v>31868</v>
      </c>
      <c r="G4" s="5">
        <v>28229</v>
      </c>
      <c r="H4" s="5">
        <v>28327</v>
      </c>
      <c r="I4" s="5">
        <v>28174</v>
      </c>
      <c r="J4" s="5">
        <f>110651-I4-H4-G4</f>
        <v>25921</v>
      </c>
      <c r="K4" s="5">
        <v>26726</v>
      </c>
      <c r="L4" s="5">
        <v>13444</v>
      </c>
      <c r="M4" s="5">
        <v>27169</v>
      </c>
      <c r="N4" s="5">
        <f>N3-N5</f>
        <v>30638.562099999999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J4" s="5">
        <f>SUM(C4:F4)</f>
        <v>120656</v>
      </c>
      <c r="AK4" s="5">
        <f>SUM(G4:J4)</f>
        <v>110651</v>
      </c>
      <c r="AL4" s="5">
        <v>97539</v>
      </c>
      <c r="AM4" s="5">
        <v>100544</v>
      </c>
      <c r="AN4" s="5">
        <v>126892</v>
      </c>
      <c r="AO4" s="5">
        <v>141330</v>
      </c>
      <c r="AP4" s="5">
        <v>151065</v>
      </c>
      <c r="AQ4" s="5">
        <f t="shared" ref="AQ4:AV4" si="6">AQ3-AQ5</f>
        <v>153346.3002</v>
      </c>
      <c r="AR4" s="5">
        <f t="shared" si="6"/>
        <v>154879.763202</v>
      </c>
      <c r="AS4" s="5">
        <f t="shared" si="6"/>
        <v>156428.56083402003</v>
      </c>
      <c r="AT4" s="5">
        <f t="shared" si="6"/>
        <v>157992.8464423602</v>
      </c>
      <c r="AU4" s="5">
        <f t="shared" si="6"/>
        <v>159572.77490678383</v>
      </c>
      <c r="AV4" s="5">
        <f t="shared" si="6"/>
        <v>161168.50265585165</v>
      </c>
      <c r="AW4" s="5">
        <f t="shared" ref="AW4:BA4" si="7">AW3-AW5</f>
        <v>162780.18768241018</v>
      </c>
      <c r="AX4" s="5">
        <f t="shared" si="7"/>
        <v>164407.98955923429</v>
      </c>
      <c r="AY4" s="5">
        <f t="shared" si="7"/>
        <v>166052.06945482662</v>
      </c>
      <c r="AZ4" s="5">
        <f t="shared" si="7"/>
        <v>167712.59014937488</v>
      </c>
      <c r="BA4" s="5">
        <f t="shared" si="7"/>
        <v>169389.71605086865</v>
      </c>
    </row>
    <row r="5" spans="2:132" s="3" customFormat="1" x14ac:dyDescent="0.3">
      <c r="B5" s="3" t="s">
        <v>32</v>
      </c>
      <c r="C5" s="4">
        <f t="shared" ref="C5:M5" si="8">C3-C4</f>
        <v>5915</v>
      </c>
      <c r="D5" s="4">
        <f t="shared" si="8"/>
        <v>6689</v>
      </c>
      <c r="E5" s="4">
        <f t="shared" si="8"/>
        <v>7258</v>
      </c>
      <c r="F5" s="4">
        <f t="shared" si="8"/>
        <v>6531</v>
      </c>
      <c r="G5" s="4">
        <f t="shared" si="8"/>
        <v>6649</v>
      </c>
      <c r="H5" s="4">
        <f t="shared" si="8"/>
        <v>7733</v>
      </c>
      <c r="I5" s="4">
        <f t="shared" si="8"/>
        <v>7299</v>
      </c>
      <c r="J5" s="4">
        <f t="shared" si="8"/>
        <v>4905</v>
      </c>
      <c r="K5" s="4">
        <f t="shared" si="8"/>
        <v>5983</v>
      </c>
      <c r="L5" s="4">
        <f t="shared" si="8"/>
        <v>3334</v>
      </c>
      <c r="M5" s="4">
        <f t="shared" si="8"/>
        <v>8311</v>
      </c>
      <c r="N5" s="4">
        <f>N3*0.21</f>
        <v>8144.4278999999997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J5" s="4">
        <f t="shared" ref="AJ5:AP5" si="9">AJ3-AJ4</f>
        <v>26393</v>
      </c>
      <c r="AK5" s="4">
        <f t="shared" si="9"/>
        <v>26586</v>
      </c>
      <c r="AL5" s="4">
        <f t="shared" si="9"/>
        <v>24946</v>
      </c>
      <c r="AM5" s="4">
        <f t="shared" si="9"/>
        <v>26460</v>
      </c>
      <c r="AN5" s="4">
        <f t="shared" si="9"/>
        <v>29843</v>
      </c>
      <c r="AO5" s="4">
        <f t="shared" si="9"/>
        <v>30512</v>
      </c>
      <c r="AP5" s="4">
        <f t="shared" si="9"/>
        <v>36377</v>
      </c>
      <c r="AQ5" s="4">
        <f>AQ3*0.19</f>
        <v>35970.1198</v>
      </c>
      <c r="AR5" s="4">
        <f t="shared" ref="AR5:BA5" si="10">AR3*0.19</f>
        <v>36329.820998000003</v>
      </c>
      <c r="AS5" s="4">
        <f t="shared" si="10"/>
        <v>36693.119207980002</v>
      </c>
      <c r="AT5" s="4">
        <f t="shared" si="10"/>
        <v>37060.050400059801</v>
      </c>
      <c r="AU5" s="4">
        <f t="shared" si="10"/>
        <v>37430.650904060407</v>
      </c>
      <c r="AV5" s="4">
        <f t="shared" si="10"/>
        <v>37804.957413101009</v>
      </c>
      <c r="AW5" s="4">
        <f t="shared" si="10"/>
        <v>38183.006987232016</v>
      </c>
      <c r="AX5" s="4">
        <f t="shared" si="10"/>
        <v>38564.837057104342</v>
      </c>
      <c r="AY5" s="4">
        <f t="shared" si="10"/>
        <v>38950.485427675383</v>
      </c>
      <c r="AZ5" s="4">
        <f t="shared" si="10"/>
        <v>39339.990281952138</v>
      </c>
      <c r="BA5" s="4">
        <f t="shared" si="10"/>
        <v>39733.390184771655</v>
      </c>
    </row>
    <row r="6" spans="2:132" x14ac:dyDescent="0.3">
      <c r="B6" s="1" t="s">
        <v>23</v>
      </c>
      <c r="C6" s="5">
        <v>2372</v>
      </c>
      <c r="D6" s="5">
        <v>2216</v>
      </c>
      <c r="E6" s="5">
        <v>2584</v>
      </c>
      <c r="F6" s="5">
        <f>9650-E6-D6-C6</f>
        <v>2478</v>
      </c>
      <c r="G6" s="5">
        <v>2099</v>
      </c>
      <c r="H6" s="5">
        <v>2102</v>
      </c>
      <c r="I6" s="5">
        <v>2008</v>
      </c>
      <c r="J6" s="5">
        <f>8491-I6-H6-G6</f>
        <v>2282</v>
      </c>
      <c r="K6" s="5">
        <v>1970</v>
      </c>
      <c r="L6" s="5">
        <v>1310</v>
      </c>
      <c r="M6" s="5">
        <v>1628</v>
      </c>
      <c r="N6" s="5">
        <f>J6*0.9</f>
        <v>2053.8000000000002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J6" s="5">
        <f>SUM(C6:F6)</f>
        <v>9650</v>
      </c>
      <c r="AK6" s="5">
        <f>SUM(G6:J6)</f>
        <v>8491</v>
      </c>
      <c r="AL6" s="5">
        <v>7038</v>
      </c>
      <c r="AM6" s="5">
        <v>8554</v>
      </c>
      <c r="AN6" s="5">
        <v>10667</v>
      </c>
      <c r="AO6" s="5">
        <v>9840</v>
      </c>
      <c r="AP6" s="5">
        <v>10621</v>
      </c>
      <c r="AQ6" s="5">
        <f>AP7*1.01</f>
        <v>13101.72</v>
      </c>
      <c r="AR6" s="5">
        <f t="shared" ref="AR6:AV6" si="11">AQ6*1.01</f>
        <v>13232.7372</v>
      </c>
      <c r="AS6" s="5">
        <f t="shared" si="11"/>
        <v>13365.064571999999</v>
      </c>
      <c r="AT6" s="5">
        <f t="shared" si="11"/>
        <v>13498.715217719999</v>
      </c>
      <c r="AU6" s="5">
        <f t="shared" si="11"/>
        <v>13633.702369897199</v>
      </c>
      <c r="AV6" s="5">
        <f t="shared" si="11"/>
        <v>13770.039393596171</v>
      </c>
      <c r="AW6" s="5">
        <f t="shared" ref="AW6:AW7" si="12">AV6*1.01</f>
        <v>13907.739787532133</v>
      </c>
      <c r="AX6" s="5">
        <f t="shared" ref="AX6:AX7" si="13">AW6*1.01</f>
        <v>14046.817185407455</v>
      </c>
      <c r="AY6" s="5">
        <f t="shared" ref="AY6:AY7" si="14">AX6*1.01</f>
        <v>14187.285357261529</v>
      </c>
      <c r="AZ6" s="5">
        <f t="shared" ref="AZ6:AZ7" si="15">AY6*1.01</f>
        <v>14329.158210834144</v>
      </c>
      <c r="BA6" s="5">
        <f t="shared" ref="BA6:BA7" si="16">AZ6*1.01</f>
        <v>14472.449792942487</v>
      </c>
    </row>
    <row r="7" spans="2:132" x14ac:dyDescent="0.3">
      <c r="B7" s="1" t="s">
        <v>24</v>
      </c>
      <c r="C7" s="5">
        <v>3014</v>
      </c>
      <c r="D7" s="5">
        <v>2996</v>
      </c>
      <c r="E7" s="5">
        <v>3064</v>
      </c>
      <c r="F7" s="5">
        <f>12298-E7-D7-C7</f>
        <v>3224</v>
      </c>
      <c r="G7" s="5">
        <v>3306</v>
      </c>
      <c r="H7" s="5">
        <v>3144</v>
      </c>
      <c r="I7" s="5">
        <v>2987</v>
      </c>
      <c r="J7" s="5">
        <f>12614-I7-H7-G7</f>
        <v>3177</v>
      </c>
      <c r="K7" s="5">
        <v>3356</v>
      </c>
      <c r="L7" s="5">
        <v>3238</v>
      </c>
      <c r="M7" s="5">
        <v>2259</v>
      </c>
      <c r="N7" s="5">
        <v>3000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5">
        <f>SUM(C7:F7)</f>
        <v>12298</v>
      </c>
      <c r="AK7" s="5">
        <f>SUM(G7:J7)</f>
        <v>12614</v>
      </c>
      <c r="AL7" s="5">
        <v>11274</v>
      </c>
      <c r="AM7" s="5">
        <v>8582</v>
      </c>
      <c r="AN7" s="5">
        <v>8862</v>
      </c>
      <c r="AO7" s="5">
        <v>11374</v>
      </c>
      <c r="AP7" s="5">
        <v>12972</v>
      </c>
      <c r="AQ7" s="5">
        <f>AP6*1.01</f>
        <v>10727.210000000001</v>
      </c>
      <c r="AR7" s="5">
        <f t="shared" ref="AR7:AV7" si="17">AQ7*1.01</f>
        <v>10834.482100000001</v>
      </c>
      <c r="AS7" s="5">
        <f t="shared" si="17"/>
        <v>10942.826921000002</v>
      </c>
      <c r="AT7" s="5">
        <f t="shared" si="17"/>
        <v>11052.255190210002</v>
      </c>
      <c r="AU7" s="5">
        <f t="shared" si="17"/>
        <v>11162.777742112103</v>
      </c>
      <c r="AV7" s="5">
        <f t="shared" si="17"/>
        <v>11274.405519533224</v>
      </c>
      <c r="AW7" s="5">
        <f t="shared" si="12"/>
        <v>11387.149574728557</v>
      </c>
      <c r="AX7" s="5">
        <f t="shared" si="13"/>
        <v>11501.021070475843</v>
      </c>
      <c r="AY7" s="5">
        <f t="shared" si="14"/>
        <v>11616.031281180602</v>
      </c>
      <c r="AZ7" s="5">
        <f t="shared" si="15"/>
        <v>11732.191593992407</v>
      </c>
      <c r="BA7" s="5">
        <f t="shared" si="16"/>
        <v>11849.513509932332</v>
      </c>
    </row>
    <row r="8" spans="2:132" s="3" customFormat="1" x14ac:dyDescent="0.3">
      <c r="B8" s="3" t="s">
        <v>25</v>
      </c>
      <c r="C8" s="4">
        <f t="shared" ref="C8:L8" si="18">C5-C6-C7</f>
        <v>529</v>
      </c>
      <c r="D8" s="4">
        <f t="shared" si="18"/>
        <v>1477</v>
      </c>
      <c r="E8" s="4">
        <f t="shared" si="18"/>
        <v>1610</v>
      </c>
      <c r="F8" s="4">
        <f t="shared" si="18"/>
        <v>829</v>
      </c>
      <c r="G8" s="4">
        <f t="shared" si="18"/>
        <v>1244</v>
      </c>
      <c r="H8" s="4">
        <f t="shared" si="18"/>
        <v>2487</v>
      </c>
      <c r="I8" s="4">
        <f t="shared" si="18"/>
        <v>2304</v>
      </c>
      <c r="J8" s="4">
        <f t="shared" si="18"/>
        <v>-554</v>
      </c>
      <c r="K8" s="4">
        <f t="shared" si="18"/>
        <v>657</v>
      </c>
      <c r="L8" s="4">
        <f t="shared" si="18"/>
        <v>-1214</v>
      </c>
      <c r="M8" s="4">
        <f>M5-M6-M7</f>
        <v>4424</v>
      </c>
      <c r="N8" s="4">
        <f>N5-N6-N7</f>
        <v>3090.6278999999995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J8" s="4">
        <f>AJ5-AJ6-AJ7</f>
        <v>4445</v>
      </c>
      <c r="AK8" s="4">
        <f>AK5-AK6-AK7</f>
        <v>5481</v>
      </c>
      <c r="AL8" s="4">
        <f t="shared" ref="AL8" si="19">AL5-AL6-AL7</f>
        <v>6634</v>
      </c>
      <c r="AM8" s="4">
        <f>AM5-AM7-AM6</f>
        <v>9324</v>
      </c>
      <c r="AN8" s="4">
        <f>AN5-AN7-AN6</f>
        <v>10314</v>
      </c>
      <c r="AO8" s="4">
        <f>AO5-AO7-AO6</f>
        <v>9298</v>
      </c>
      <c r="AP8" s="4">
        <f>AP5-AP7-AP6</f>
        <v>12784</v>
      </c>
      <c r="AQ8" s="4">
        <f t="shared" ref="AQ8:AV8" si="20">AQ5-AQ6-AQ7</f>
        <v>12141.189799999998</v>
      </c>
      <c r="AR8" s="4">
        <f t="shared" si="20"/>
        <v>12262.601698000002</v>
      </c>
      <c r="AS8" s="4">
        <f t="shared" si="20"/>
        <v>12385.227714980001</v>
      </c>
      <c r="AT8" s="4">
        <f t="shared" si="20"/>
        <v>12509.079992129802</v>
      </c>
      <c r="AU8" s="4">
        <f t="shared" si="20"/>
        <v>12634.170792051107</v>
      </c>
      <c r="AV8" s="4">
        <f t="shared" si="20"/>
        <v>12760.512499971615</v>
      </c>
      <c r="AW8" s="4">
        <f t="shared" ref="AW8:BA8" si="21">AW5-AW6-AW7</f>
        <v>12888.117624971326</v>
      </c>
      <c r="AX8" s="4">
        <f t="shared" si="21"/>
        <v>13016.998801221045</v>
      </c>
      <c r="AY8" s="4">
        <f t="shared" si="21"/>
        <v>13147.168789233254</v>
      </c>
      <c r="AZ8" s="4">
        <f t="shared" si="21"/>
        <v>13278.640477125584</v>
      </c>
      <c r="BA8" s="4">
        <f t="shared" si="21"/>
        <v>13411.426881896836</v>
      </c>
    </row>
    <row r="9" spans="2:132" x14ac:dyDescent="0.3">
      <c r="B9" s="1" t="s">
        <v>26</v>
      </c>
      <c r="C9" s="5">
        <f>-648</f>
        <v>-648</v>
      </c>
      <c r="D9" s="5">
        <f>-637</f>
        <v>-637</v>
      </c>
      <c r="E9" s="5">
        <f>-651</f>
        <v>-651</v>
      </c>
      <c r="F9" s="5">
        <f>-2163-E9-D9-C9</f>
        <v>-227</v>
      </c>
      <c r="G9" s="5">
        <f>-805</f>
        <v>-805</v>
      </c>
      <c r="H9" s="5">
        <f>-364</f>
        <v>-364</v>
      </c>
      <c r="I9" s="5">
        <f>-169</f>
        <v>-169</v>
      </c>
      <c r="J9" s="5">
        <f>-1268-I9-H9-G9</f>
        <v>70</v>
      </c>
      <c r="K9" s="5">
        <f>-311</f>
        <v>-311</v>
      </c>
      <c r="L9" s="5">
        <f>-413</f>
        <v>-413</v>
      </c>
      <c r="M9" s="5">
        <f>-499</f>
        <v>-499</v>
      </c>
      <c r="N9" s="5">
        <v>-400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5">
        <f>SUM(C9:F9)</f>
        <v>-2163</v>
      </c>
      <c r="AK9" s="5">
        <f>SUM(G9:J9)</f>
        <v>-1268</v>
      </c>
      <c r="AL9" s="5">
        <v>-1885</v>
      </c>
      <c r="AM9" s="5">
        <v>-3041</v>
      </c>
      <c r="AN9" s="5">
        <v>-1432</v>
      </c>
      <c r="AO9" s="5">
        <v>-1537</v>
      </c>
      <c r="AP9" s="5">
        <v>-1257</v>
      </c>
      <c r="AQ9" s="5">
        <f>AP9-AP16*0.01</f>
        <v>-1317.09</v>
      </c>
      <c r="AR9" s="5">
        <f t="shared" ref="AR9:AV9" si="22">AQ9-AQ16*0.01</f>
        <v>-1419.7963384</v>
      </c>
      <c r="AS9" s="5">
        <f t="shared" si="22"/>
        <v>-1525.3830476912001</v>
      </c>
      <c r="AT9" s="5">
        <f t="shared" si="22"/>
        <v>-1633.6663532425696</v>
      </c>
      <c r="AU9" s="5">
        <f t="shared" si="22"/>
        <v>-1744.5044230100486</v>
      </c>
      <c r="AV9" s="5">
        <f t="shared" si="22"/>
        <v>-1857.7890410130829</v>
      </c>
      <c r="AW9" s="5">
        <f t="shared" ref="AW9" si="23">AV9-AV16*0.01</f>
        <v>-1973.4389468167308</v>
      </c>
      <c r="AX9" s="5">
        <f t="shared" ref="AX9" si="24">AW9-AW16*0.01</f>
        <v>-2091.3945078258835</v>
      </c>
      <c r="AY9" s="5">
        <f t="shared" ref="AY9" si="25">AX9-AX16*0.01</f>
        <v>-2211.6134578369115</v>
      </c>
      <c r="AZ9" s="5">
        <f t="shared" ref="AZ9" si="26">AY9-AY16*0.01</f>
        <v>-2334.067488603077</v>
      </c>
      <c r="BA9" s="5">
        <f t="shared" ref="BA9" si="27">AZ9-AZ16*0.01</f>
        <v>-2458.7395238188583</v>
      </c>
    </row>
    <row r="10" spans="2:132" x14ac:dyDescent="0.3">
      <c r="B10" s="1" t="s">
        <v>27</v>
      </c>
      <c r="C10" s="5">
        <v>150</v>
      </c>
      <c r="D10" s="5">
        <v>159</v>
      </c>
      <c r="E10" s="5">
        <v>161</v>
      </c>
      <c r="F10" s="5">
        <f>655-E10-D10-C10</f>
        <v>185</v>
      </c>
      <c r="G10" s="5">
        <v>181</v>
      </c>
      <c r="H10" s="5">
        <v>195</v>
      </c>
      <c r="I10" s="5">
        <v>206</v>
      </c>
      <c r="J10" s="5">
        <f>782-I10-H10-G10</f>
        <v>200</v>
      </c>
      <c r="K10" s="5">
        <v>193</v>
      </c>
      <c r="L10" s="5">
        <v>303</v>
      </c>
      <c r="M10" s="5">
        <v>327</v>
      </c>
      <c r="N10" s="5">
        <v>327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5">
        <f>SUM(C10:F10)</f>
        <v>655</v>
      </c>
      <c r="AK10" s="5">
        <f>SUM(G10:J10)</f>
        <v>782</v>
      </c>
      <c r="AL10" s="5">
        <v>1098</v>
      </c>
      <c r="AM10" s="5">
        <v>950</v>
      </c>
      <c r="AN10" s="5">
        <v>987</v>
      </c>
      <c r="AO10" s="5">
        <v>911</v>
      </c>
      <c r="AP10" s="5">
        <v>846</v>
      </c>
      <c r="AQ10" s="5">
        <f>AP10*0.8</f>
        <v>676.80000000000007</v>
      </c>
      <c r="AR10" s="5">
        <f t="shared" ref="AR10:AV10" si="28">AQ10*0.8</f>
        <v>541.44000000000005</v>
      </c>
      <c r="AS10" s="5">
        <f t="shared" si="28"/>
        <v>433.15200000000004</v>
      </c>
      <c r="AT10" s="5">
        <f t="shared" si="28"/>
        <v>346.52160000000003</v>
      </c>
      <c r="AU10" s="5">
        <f t="shared" si="28"/>
        <v>277.21728000000002</v>
      </c>
      <c r="AV10" s="5">
        <f t="shared" si="28"/>
        <v>221.77382400000002</v>
      </c>
      <c r="AW10" s="5">
        <f t="shared" ref="AW10" si="29">AV10*0.8</f>
        <v>177.41905920000002</v>
      </c>
      <c r="AX10" s="5">
        <f t="shared" ref="AX10" si="30">AW10*0.8</f>
        <v>141.93524736000003</v>
      </c>
      <c r="AY10" s="5">
        <f t="shared" ref="AY10" si="31">AX10*0.8</f>
        <v>113.54819788800003</v>
      </c>
      <c r="AZ10" s="5">
        <f t="shared" ref="AZ10" si="32">AY10*0.8</f>
        <v>90.838558310400032</v>
      </c>
      <c r="BA10" s="5">
        <f t="shared" ref="BA10" si="33">AZ10*0.8</f>
        <v>72.670846648320023</v>
      </c>
    </row>
    <row r="11" spans="2:132" x14ac:dyDescent="0.3">
      <c r="B11" s="1" t="s">
        <v>70</v>
      </c>
      <c r="C11" s="5">
        <v>-549</v>
      </c>
      <c r="D11" s="5">
        <v>-930</v>
      </c>
      <c r="E11" s="5">
        <v>-530</v>
      </c>
      <c r="F11" s="5">
        <f>-2596-E11-D11-C11</f>
        <v>-587</v>
      </c>
      <c r="G11" s="5">
        <v>-414</v>
      </c>
      <c r="H11" s="5">
        <v>-271</v>
      </c>
      <c r="I11" s="5">
        <v>-315</v>
      </c>
      <c r="J11" s="5">
        <f>-1469-I11-H11-G11</f>
        <v>-469</v>
      </c>
      <c r="K11" s="5">
        <v>132</v>
      </c>
      <c r="L11" s="5">
        <v>-212</v>
      </c>
      <c r="M11" s="5">
        <v>-309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5">
        <f t="shared" ref="AJ11" si="34">SUM(C11:F11)</f>
        <v>-2596</v>
      </c>
      <c r="AK11" s="5">
        <f>SUM(G11:J11)</f>
        <v>-1469</v>
      </c>
      <c r="AL11" s="5">
        <v>-674</v>
      </c>
      <c r="AM11" s="5">
        <v>-1301</v>
      </c>
      <c r="AN11" s="5">
        <v>-837</v>
      </c>
      <c r="AO11" s="5">
        <v>-480</v>
      </c>
      <c r="AP11" s="5">
        <v>4675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2:132" x14ac:dyDescent="0.3">
      <c r="B12" s="1" t="s">
        <v>71</v>
      </c>
      <c r="C12" s="5">
        <f>SUM(C9:C11)</f>
        <v>-1047</v>
      </c>
      <c r="D12" s="5">
        <f t="shared" ref="D12:N12" si="35">SUM(D9:D11)</f>
        <v>-1408</v>
      </c>
      <c r="E12" s="5">
        <f t="shared" si="35"/>
        <v>-1020</v>
      </c>
      <c r="F12" s="5">
        <f t="shared" si="35"/>
        <v>-629</v>
      </c>
      <c r="G12" s="5">
        <f t="shared" si="35"/>
        <v>-1038</v>
      </c>
      <c r="H12" s="5">
        <f t="shared" si="35"/>
        <v>-440</v>
      </c>
      <c r="I12" s="5">
        <f t="shared" si="35"/>
        <v>-278</v>
      </c>
      <c r="J12" s="5">
        <f t="shared" si="35"/>
        <v>-199</v>
      </c>
      <c r="K12" s="5">
        <f t="shared" si="35"/>
        <v>14</v>
      </c>
      <c r="L12" s="5">
        <f t="shared" si="35"/>
        <v>-322</v>
      </c>
      <c r="M12" s="5">
        <f t="shared" si="35"/>
        <v>-481</v>
      </c>
      <c r="N12" s="5">
        <f t="shared" si="35"/>
        <v>-73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J12" s="5">
        <f>SUM(AJ9:AJ11)</f>
        <v>-4104</v>
      </c>
      <c r="AK12" s="5">
        <f t="shared" ref="AK12" si="36">SUM(AK9:AK11)</f>
        <v>-1955</v>
      </c>
      <c r="AL12" s="5">
        <f t="shared" ref="AL12:AP12" si="37">SUM(AL9:AL11)</f>
        <v>-1461</v>
      </c>
      <c r="AM12" s="5">
        <f t="shared" si="37"/>
        <v>-3392</v>
      </c>
      <c r="AN12" s="5">
        <f t="shared" si="37"/>
        <v>-1282</v>
      </c>
      <c r="AO12" s="5">
        <f t="shared" si="37"/>
        <v>-1106</v>
      </c>
      <c r="AP12" s="5">
        <f t="shared" si="37"/>
        <v>4264</v>
      </c>
      <c r="AQ12" s="5">
        <f t="shared" ref="AQ12" si="38">SUM(AQ9:AQ11)</f>
        <v>-640.28999999999985</v>
      </c>
      <c r="AR12" s="5">
        <f t="shared" ref="AR12" si="39">SUM(AR9:AR11)</f>
        <v>-878.35633839999991</v>
      </c>
      <c r="AS12" s="5">
        <f t="shared" ref="AS12" si="40">SUM(AS9:AS11)</f>
        <v>-1092.2310476912</v>
      </c>
      <c r="AT12" s="5">
        <f t="shared" ref="AT12" si="41">SUM(AT9:AT11)</f>
        <v>-1287.1447532425695</v>
      </c>
      <c r="AU12" s="5">
        <f t="shared" ref="AU12" si="42">SUM(AU9:AU11)</f>
        <v>-1467.2871430100486</v>
      </c>
      <c r="AV12" s="5">
        <f t="shared" ref="AV12" si="43">SUM(AV9:AV11)</f>
        <v>-1636.0152170130827</v>
      </c>
      <c r="AW12" s="5">
        <f t="shared" ref="AW12" si="44">SUM(AW9:AW11)</f>
        <v>-1796.0198876167308</v>
      </c>
      <c r="AX12" s="5">
        <f t="shared" ref="AX12" si="45">SUM(AX9:AX11)</f>
        <v>-1949.4592604658835</v>
      </c>
      <c r="AY12" s="5">
        <f t="shared" ref="AY12" si="46">SUM(AY9:AY11)</f>
        <v>-2098.0652599489113</v>
      </c>
      <c r="AZ12" s="5">
        <f t="shared" ref="AZ12" si="47">SUM(AZ9:AZ11)</f>
        <v>-2243.228930292677</v>
      </c>
      <c r="BA12" s="5">
        <f t="shared" ref="BA12" si="48">SUM(BA9:BA11)</f>
        <v>-2386.0686771705382</v>
      </c>
    </row>
    <row r="13" spans="2:132" s="3" customFormat="1" x14ac:dyDescent="0.3">
      <c r="B13" s="3" t="s">
        <v>28</v>
      </c>
      <c r="C13" s="4">
        <f>C8-C12</f>
        <v>1576</v>
      </c>
      <c r="D13" s="4">
        <f t="shared" ref="D13:N13" si="49">D8-D12</f>
        <v>2885</v>
      </c>
      <c r="E13" s="4">
        <f t="shared" si="49"/>
        <v>2630</v>
      </c>
      <c r="F13" s="4">
        <f t="shared" si="49"/>
        <v>1458</v>
      </c>
      <c r="G13" s="4">
        <f t="shared" si="49"/>
        <v>2282</v>
      </c>
      <c r="H13" s="4">
        <f t="shared" si="49"/>
        <v>2927</v>
      </c>
      <c r="I13" s="4">
        <f t="shared" si="49"/>
        <v>2582</v>
      </c>
      <c r="J13" s="4">
        <f t="shared" si="49"/>
        <v>-355</v>
      </c>
      <c r="K13" s="4">
        <f t="shared" si="49"/>
        <v>643</v>
      </c>
      <c r="L13" s="4">
        <f t="shared" si="49"/>
        <v>-892</v>
      </c>
      <c r="M13" s="4">
        <f t="shared" si="49"/>
        <v>4905</v>
      </c>
      <c r="N13" s="4">
        <f t="shared" si="49"/>
        <v>3163.6278999999995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>
        <f>AJ8-AJ12</f>
        <v>8549</v>
      </c>
      <c r="AK13" s="4">
        <f t="shared" ref="AK13:BA13" si="50">AK8-AK12</f>
        <v>7436</v>
      </c>
      <c r="AL13" s="4">
        <f t="shared" si="50"/>
        <v>8095</v>
      </c>
      <c r="AM13" s="4">
        <f t="shared" si="50"/>
        <v>12716</v>
      </c>
      <c r="AN13" s="4">
        <f t="shared" si="50"/>
        <v>11596</v>
      </c>
      <c r="AO13" s="4">
        <f t="shared" si="50"/>
        <v>10404</v>
      </c>
      <c r="AP13" s="4">
        <f t="shared" si="50"/>
        <v>8520</v>
      </c>
      <c r="AQ13" s="4">
        <f t="shared" si="50"/>
        <v>12781.479799999997</v>
      </c>
      <c r="AR13" s="4">
        <f t="shared" si="50"/>
        <v>13140.958036400003</v>
      </c>
      <c r="AS13" s="4">
        <f t="shared" si="50"/>
        <v>13477.458762671202</v>
      </c>
      <c r="AT13" s="4">
        <f t="shared" si="50"/>
        <v>13796.224745372372</v>
      </c>
      <c r="AU13" s="4">
        <f t="shared" si="50"/>
        <v>14101.457935061157</v>
      </c>
      <c r="AV13" s="4">
        <f t="shared" si="50"/>
        <v>14396.527716984698</v>
      </c>
      <c r="AW13" s="4">
        <f t="shared" si="50"/>
        <v>14684.137512588057</v>
      </c>
      <c r="AX13" s="4">
        <f t="shared" si="50"/>
        <v>14966.458061686928</v>
      </c>
      <c r="AY13" s="4">
        <f t="shared" si="50"/>
        <v>15245.234049182165</v>
      </c>
      <c r="AZ13" s="4">
        <f t="shared" si="50"/>
        <v>15521.86940741826</v>
      </c>
      <c r="BA13" s="4">
        <f t="shared" si="50"/>
        <v>15797.495559067374</v>
      </c>
    </row>
    <row r="14" spans="2:132" x14ac:dyDescent="0.3">
      <c r="B14" s="1" t="s">
        <v>29</v>
      </c>
      <c r="C14" s="5">
        <v>466</v>
      </c>
      <c r="D14" s="5">
        <v>519</v>
      </c>
      <c r="E14" s="5">
        <v>100</v>
      </c>
      <c r="F14" s="5">
        <f>474-E14-D14-C14</f>
        <v>-611</v>
      </c>
      <c r="G14" s="5">
        <v>137</v>
      </c>
      <c r="H14" s="5">
        <v>524</v>
      </c>
      <c r="I14" s="5">
        <v>271</v>
      </c>
      <c r="J14" s="5">
        <f>769-I14-H14-G14</f>
        <v>-163</v>
      </c>
      <c r="K14" s="5">
        <v>357</v>
      </c>
      <c r="L14" s="5">
        <v>-112</v>
      </c>
      <c r="M14" s="5">
        <v>887</v>
      </c>
      <c r="N14" s="5">
        <f>N13*0.18</f>
        <v>569.45302199999992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5">
        <f>SUM(C14:F14)</f>
        <v>474</v>
      </c>
      <c r="AK14" s="5">
        <f>SUM(G14:J14)</f>
        <v>769</v>
      </c>
      <c r="AL14" s="5">
        <v>1774</v>
      </c>
      <c r="AM14" s="5">
        <v>2771</v>
      </c>
      <c r="AN14" s="5">
        <v>1888</v>
      </c>
      <c r="AO14" s="5">
        <v>563</v>
      </c>
      <c r="AP14" s="5">
        <v>2556</v>
      </c>
      <c r="AQ14" s="5">
        <f>AQ13*0.2</f>
        <v>2556.2959599999995</v>
      </c>
      <c r="AR14" s="5">
        <f t="shared" ref="AR14:BA14" si="51">AR13*0.2</f>
        <v>2628.1916072800009</v>
      </c>
      <c r="AS14" s="5">
        <f t="shared" si="51"/>
        <v>2695.4917525342407</v>
      </c>
      <c r="AT14" s="5">
        <f t="shared" si="51"/>
        <v>2759.2449490744748</v>
      </c>
      <c r="AU14" s="5">
        <f t="shared" si="51"/>
        <v>2820.2915870122315</v>
      </c>
      <c r="AV14" s="5">
        <f t="shared" si="51"/>
        <v>2879.3055433969398</v>
      </c>
      <c r="AW14" s="5">
        <f t="shared" si="51"/>
        <v>2936.8275025176117</v>
      </c>
      <c r="AX14" s="5">
        <f t="shared" si="51"/>
        <v>2993.2916123373857</v>
      </c>
      <c r="AY14" s="5">
        <f t="shared" si="51"/>
        <v>3049.0468098364331</v>
      </c>
      <c r="AZ14" s="5">
        <f t="shared" si="51"/>
        <v>3104.3738814836524</v>
      </c>
      <c r="BA14" s="5">
        <f t="shared" si="51"/>
        <v>3159.4991118134749</v>
      </c>
    </row>
    <row r="15" spans="2:132" x14ac:dyDescent="0.3">
      <c r="B15" s="1" t="s">
        <v>31</v>
      </c>
      <c r="C15" s="5">
        <f>-6+70</f>
        <v>64</v>
      </c>
      <c r="D15" s="5">
        <v>-24</v>
      </c>
      <c r="E15" s="5">
        <v>-4</v>
      </c>
      <c r="F15" s="5">
        <f>-9+70-E15-D15-C15</f>
        <v>25</v>
      </c>
      <c r="G15" s="5">
        <v>-12</v>
      </c>
      <c r="H15" s="5">
        <v>-15</v>
      </c>
      <c r="I15" s="5">
        <v>-40</v>
      </c>
      <c r="J15" s="5">
        <f>-65-I15-H15-G15</f>
        <v>2</v>
      </c>
      <c r="K15" s="5">
        <v>-8</v>
      </c>
      <c r="L15" s="5">
        <v>-22</v>
      </c>
      <c r="M15" s="5">
        <v>-27</v>
      </c>
      <c r="N15" s="5">
        <v>-10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5">
        <f>SUM(C15:F15)</f>
        <v>61</v>
      </c>
      <c r="AK15" s="5">
        <f>SUM(G15:J15)</f>
        <v>-65</v>
      </c>
      <c r="AL15" s="5">
        <v>-106</v>
      </c>
      <c r="AM15" s="5">
        <v>-74</v>
      </c>
      <c r="AN15" s="5">
        <v>-226</v>
      </c>
      <c r="AO15" s="5">
        <v>-287</v>
      </c>
      <c r="AP15" s="5">
        <v>-45</v>
      </c>
      <c r="AQ15" s="5">
        <f>AP15*1.01</f>
        <v>-45.45</v>
      </c>
      <c r="AR15" s="5">
        <f t="shared" ref="AR15:AV15" si="52">AQ15*1.01</f>
        <v>-45.904500000000006</v>
      </c>
      <c r="AS15" s="5">
        <f t="shared" si="52"/>
        <v>-46.363545000000009</v>
      </c>
      <c r="AT15" s="5">
        <f t="shared" si="52"/>
        <v>-46.827180450000007</v>
      </c>
      <c r="AU15" s="5">
        <f t="shared" si="52"/>
        <v>-47.295452254500006</v>
      </c>
      <c r="AV15" s="5">
        <f t="shared" si="52"/>
        <v>-47.768406777045008</v>
      </c>
      <c r="AW15" s="5">
        <f t="shared" ref="AW15" si="53">AV15*1.01</f>
        <v>-48.246090844815456</v>
      </c>
      <c r="AX15" s="5">
        <f t="shared" ref="AX15" si="54">AW15*1.01</f>
        <v>-48.728551753263609</v>
      </c>
      <c r="AY15" s="5">
        <f t="shared" ref="AY15" si="55">AX15*1.01</f>
        <v>-49.215837270796243</v>
      </c>
      <c r="AZ15" s="5">
        <f t="shared" ref="AZ15" si="56">AY15*1.01</f>
        <v>-49.707995643504205</v>
      </c>
      <c r="BA15" s="5">
        <f t="shared" ref="BA15" si="57">AZ15*1.01</f>
        <v>-50.205075599939249</v>
      </c>
    </row>
    <row r="16" spans="2:132" s="3" customFormat="1" x14ac:dyDescent="0.3">
      <c r="B16" s="3" t="s">
        <v>30</v>
      </c>
      <c r="C16" s="4">
        <f t="shared" ref="C16:N16" si="58">C13-C14-C15</f>
        <v>1046</v>
      </c>
      <c r="D16" s="4">
        <f t="shared" si="58"/>
        <v>2390</v>
      </c>
      <c r="E16" s="4">
        <f t="shared" si="58"/>
        <v>2534</v>
      </c>
      <c r="F16" s="4">
        <f t="shared" si="58"/>
        <v>2044</v>
      </c>
      <c r="G16" s="4">
        <f t="shared" si="58"/>
        <v>2157</v>
      </c>
      <c r="H16" s="4">
        <f t="shared" si="58"/>
        <v>2418</v>
      </c>
      <c r="I16" s="4">
        <f t="shared" si="58"/>
        <v>2351</v>
      </c>
      <c r="J16" s="4">
        <f t="shared" si="58"/>
        <v>-194</v>
      </c>
      <c r="K16" s="4">
        <f t="shared" si="58"/>
        <v>294</v>
      </c>
      <c r="L16" s="4">
        <f t="shared" si="58"/>
        <v>-758</v>
      </c>
      <c r="M16" s="4">
        <f t="shared" si="58"/>
        <v>4045</v>
      </c>
      <c r="N16" s="4">
        <f t="shared" si="58"/>
        <v>2604.1748779999998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J16" s="4">
        <f>AJ13-AJ14-AJ15</f>
        <v>8014</v>
      </c>
      <c r="AK16" s="4">
        <f>AK13-AK14-AK15</f>
        <v>6732</v>
      </c>
      <c r="AL16" s="4">
        <f t="shared" ref="AL16:AM16" si="59">AL13-AL14-AL15</f>
        <v>6427</v>
      </c>
      <c r="AM16" s="4">
        <f t="shared" si="59"/>
        <v>10019</v>
      </c>
      <c r="AN16" s="4">
        <f t="shared" ref="AN16:AO16" si="60">AN13-AN14-AN15</f>
        <v>9934</v>
      </c>
      <c r="AO16" s="4">
        <f t="shared" si="60"/>
        <v>10128</v>
      </c>
      <c r="AP16" s="4">
        <f t="shared" ref="AP16:AV16" si="61">AP13-AP14-AP15</f>
        <v>6009</v>
      </c>
      <c r="AQ16" s="4">
        <f t="shared" si="61"/>
        <v>10270.633839999999</v>
      </c>
      <c r="AR16" s="4">
        <f t="shared" si="61"/>
        <v>10558.670929120002</v>
      </c>
      <c r="AS16" s="4">
        <f t="shared" si="61"/>
        <v>10828.330555136961</v>
      </c>
      <c r="AT16" s="4">
        <f t="shared" si="61"/>
        <v>11083.806976747897</v>
      </c>
      <c r="AU16" s="4">
        <f t="shared" si="61"/>
        <v>11328.461800303427</v>
      </c>
      <c r="AV16" s="4">
        <f t="shared" si="61"/>
        <v>11564.990580364802</v>
      </c>
      <c r="AW16" s="4">
        <f t="shared" ref="AW16:BA16" si="62">AW13-AW14-AW15</f>
        <v>11795.556100915261</v>
      </c>
      <c r="AX16" s="4">
        <f t="shared" si="62"/>
        <v>12021.895001102806</v>
      </c>
      <c r="AY16" s="4">
        <f t="shared" si="62"/>
        <v>12245.403076616529</v>
      </c>
      <c r="AZ16" s="4">
        <f t="shared" si="62"/>
        <v>12467.203521578112</v>
      </c>
      <c r="BA16" s="4">
        <f t="shared" si="62"/>
        <v>12688.201522853838</v>
      </c>
      <c r="BB16" s="3">
        <f>BA16*(1+$BD$24)</f>
        <v>12561.3195076253</v>
      </c>
      <c r="BC16" s="3">
        <f t="shared" ref="BC16:DN16" si="63">BB16*(1+$BD$24)</f>
        <v>12435.706312549046</v>
      </c>
      <c r="BD16" s="3">
        <f t="shared" si="63"/>
        <v>12311.349249423556</v>
      </c>
      <c r="BE16" s="3">
        <f t="shared" si="63"/>
        <v>12188.23575692932</v>
      </c>
      <c r="BF16" s="3">
        <f t="shared" si="63"/>
        <v>12066.353399360027</v>
      </c>
      <c r="BG16" s="3">
        <f t="shared" si="63"/>
        <v>11945.689865366427</v>
      </c>
      <c r="BH16" s="3">
        <f t="shared" si="63"/>
        <v>11826.232966712761</v>
      </c>
      <c r="BI16" s="3">
        <f t="shared" si="63"/>
        <v>11707.970637045633</v>
      </c>
      <c r="BJ16" s="3">
        <f t="shared" si="63"/>
        <v>11590.890930675178</v>
      </c>
      <c r="BK16" s="3">
        <f t="shared" si="63"/>
        <v>11474.982021368425</v>
      </c>
      <c r="BL16" s="3">
        <f t="shared" si="63"/>
        <v>11360.23220115474</v>
      </c>
      <c r="BM16" s="3">
        <f t="shared" si="63"/>
        <v>11246.629879143193</v>
      </c>
      <c r="BN16" s="3">
        <f t="shared" si="63"/>
        <v>11134.16358035176</v>
      </c>
      <c r="BO16" s="3">
        <f t="shared" si="63"/>
        <v>11022.821944548243</v>
      </c>
      <c r="BP16" s="3">
        <f t="shared" si="63"/>
        <v>10912.593725102761</v>
      </c>
      <c r="BQ16" s="3">
        <f t="shared" si="63"/>
        <v>10803.467787851732</v>
      </c>
      <c r="BR16" s="3">
        <f t="shared" si="63"/>
        <v>10695.433109973215</v>
      </c>
      <c r="BS16" s="3">
        <f t="shared" si="63"/>
        <v>10588.478778873483</v>
      </c>
      <c r="BT16" s="3">
        <f t="shared" si="63"/>
        <v>10482.593991084748</v>
      </c>
      <c r="BU16" s="3">
        <f t="shared" si="63"/>
        <v>10377.7680511739</v>
      </c>
      <c r="BV16" s="3">
        <f t="shared" si="63"/>
        <v>10273.990370662161</v>
      </c>
      <c r="BW16" s="3">
        <f t="shared" si="63"/>
        <v>10171.250466955538</v>
      </c>
      <c r="BX16" s="3">
        <f t="shared" si="63"/>
        <v>10069.537962285984</v>
      </c>
      <c r="BY16" s="3">
        <f t="shared" si="63"/>
        <v>9968.8425826631246</v>
      </c>
      <c r="BZ16" s="3">
        <f t="shared" si="63"/>
        <v>9869.1541568364937</v>
      </c>
      <c r="CA16" s="3">
        <f t="shared" si="63"/>
        <v>9770.4626152681285</v>
      </c>
      <c r="CB16" s="3">
        <f t="shared" si="63"/>
        <v>9672.7579891154473</v>
      </c>
      <c r="CC16" s="3">
        <f t="shared" si="63"/>
        <v>9576.0304092242932</v>
      </c>
      <c r="CD16" s="3">
        <f t="shared" si="63"/>
        <v>9480.270105132051</v>
      </c>
      <c r="CE16" s="3">
        <f t="shared" si="63"/>
        <v>9385.4674040807295</v>
      </c>
      <c r="CF16" s="3">
        <f t="shared" si="63"/>
        <v>9291.6127300399221</v>
      </c>
      <c r="CG16" s="3">
        <f t="shared" si="63"/>
        <v>9198.6966027395229</v>
      </c>
      <c r="CH16" s="3">
        <f t="shared" si="63"/>
        <v>9106.7096367121267</v>
      </c>
      <c r="CI16" s="3">
        <f t="shared" si="63"/>
        <v>9015.6425403450048</v>
      </c>
      <c r="CJ16" s="3">
        <f t="shared" si="63"/>
        <v>8925.4861149415556</v>
      </c>
      <c r="CK16" s="3">
        <f t="shared" si="63"/>
        <v>8836.2312537921407</v>
      </c>
      <c r="CL16" s="3">
        <f t="shared" si="63"/>
        <v>8747.868941254219</v>
      </c>
      <c r="CM16" s="3">
        <f t="shared" si="63"/>
        <v>8660.3902518416762</v>
      </c>
      <c r="CN16" s="3">
        <f t="shared" si="63"/>
        <v>8573.7863493232599</v>
      </c>
      <c r="CO16" s="3">
        <f t="shared" si="63"/>
        <v>8488.0484858300279</v>
      </c>
      <c r="CP16" s="3">
        <f t="shared" si="63"/>
        <v>8403.1680009717275</v>
      </c>
      <c r="CQ16" s="3">
        <f t="shared" si="63"/>
        <v>8319.1363209620104</v>
      </c>
      <c r="CR16" s="3">
        <f t="shared" si="63"/>
        <v>8235.9449577523901</v>
      </c>
      <c r="CS16" s="3">
        <f t="shared" si="63"/>
        <v>8153.5855081748659</v>
      </c>
      <c r="CT16" s="3">
        <f t="shared" si="63"/>
        <v>8072.0496530931168</v>
      </c>
      <c r="CU16" s="3">
        <f t="shared" si="63"/>
        <v>7991.3291565621857</v>
      </c>
      <c r="CV16" s="3">
        <f t="shared" si="63"/>
        <v>7911.4158649965639</v>
      </c>
      <c r="CW16" s="3">
        <f t="shared" si="63"/>
        <v>7832.3017063465977</v>
      </c>
      <c r="CX16" s="3">
        <f t="shared" si="63"/>
        <v>7753.9786892831316</v>
      </c>
      <c r="CY16" s="3">
        <f t="shared" si="63"/>
        <v>7676.4389023903004</v>
      </c>
      <c r="CZ16" s="3">
        <f t="shared" si="63"/>
        <v>7599.6745133663972</v>
      </c>
      <c r="DA16" s="3">
        <f t="shared" si="63"/>
        <v>7523.6777682327329</v>
      </c>
      <c r="DB16" s="3">
        <f t="shared" si="63"/>
        <v>7448.4409905504053</v>
      </c>
      <c r="DC16" s="3">
        <f t="shared" si="63"/>
        <v>7373.9565806449009</v>
      </c>
      <c r="DD16" s="3">
        <f t="shared" si="63"/>
        <v>7300.2170148384521</v>
      </c>
      <c r="DE16" s="3">
        <f t="shared" si="63"/>
        <v>7227.2148446900674</v>
      </c>
      <c r="DF16" s="3">
        <f t="shared" si="63"/>
        <v>7154.9426962431662</v>
      </c>
      <c r="DG16" s="3">
        <f t="shared" si="63"/>
        <v>7083.3932692807348</v>
      </c>
      <c r="DH16" s="3">
        <f t="shared" si="63"/>
        <v>7012.5593365879276</v>
      </c>
      <c r="DI16" s="3">
        <f t="shared" si="63"/>
        <v>6942.4337432220482</v>
      </c>
      <c r="DJ16" s="3">
        <f t="shared" si="63"/>
        <v>6873.0094057898277</v>
      </c>
      <c r="DK16" s="3">
        <f t="shared" si="63"/>
        <v>6804.2793117319297</v>
      </c>
      <c r="DL16" s="3">
        <f t="shared" si="63"/>
        <v>6736.2365186146108</v>
      </c>
      <c r="DM16" s="3">
        <f t="shared" si="63"/>
        <v>6668.8741534284645</v>
      </c>
      <c r="DN16" s="3">
        <f t="shared" si="63"/>
        <v>6602.1854118941801</v>
      </c>
      <c r="DO16" s="3">
        <f t="shared" ref="DO16:EB16" si="64">DN16*(1+$BD$24)</f>
        <v>6536.1635577752386</v>
      </c>
      <c r="DP16" s="3">
        <f t="shared" si="64"/>
        <v>6470.8019221974864</v>
      </c>
      <c r="DQ16" s="3">
        <f t="shared" si="64"/>
        <v>6406.0939029755118</v>
      </c>
      <c r="DR16" s="3">
        <f t="shared" si="64"/>
        <v>6342.0329639457568</v>
      </c>
      <c r="DS16" s="3">
        <f t="shared" si="64"/>
        <v>6278.6126343062988</v>
      </c>
      <c r="DT16" s="3">
        <f t="shared" si="64"/>
        <v>6215.8265079632356</v>
      </c>
      <c r="DU16" s="3">
        <f t="shared" si="64"/>
        <v>6153.6682428836029</v>
      </c>
      <c r="DV16" s="3">
        <f t="shared" si="64"/>
        <v>6092.1315604547672</v>
      </c>
      <c r="DW16" s="3">
        <f t="shared" si="64"/>
        <v>6031.2102448502192</v>
      </c>
      <c r="DX16" s="3">
        <f t="shared" si="64"/>
        <v>5970.8981424017165</v>
      </c>
      <c r="DY16" s="3">
        <f t="shared" si="64"/>
        <v>5911.1891609776994</v>
      </c>
      <c r="DZ16" s="3">
        <f t="shared" si="64"/>
        <v>5852.0772693679228</v>
      </c>
      <c r="EA16" s="3">
        <f t="shared" si="64"/>
        <v>5793.5564966742431</v>
      </c>
      <c r="EB16" s="3">
        <f t="shared" si="64"/>
        <v>5735.6209317075009</v>
      </c>
    </row>
    <row r="17" spans="2:56" x14ac:dyDescent="0.3">
      <c r="B17" s="1" t="s">
        <v>2</v>
      </c>
      <c r="C17" s="5">
        <f>Main!$D$4</f>
        <v>995</v>
      </c>
      <c r="D17" s="5">
        <f>Main!$D$4</f>
        <v>995</v>
      </c>
      <c r="E17" s="5">
        <f>Main!$D$4</f>
        <v>995</v>
      </c>
      <c r="F17" s="5">
        <f>Main!$D$4</f>
        <v>995</v>
      </c>
      <c r="G17" s="5">
        <f>Main!$D$4</f>
        <v>995</v>
      </c>
      <c r="H17" s="5">
        <f>Main!$D$4</f>
        <v>995</v>
      </c>
      <c r="I17" s="5">
        <f>Main!$D$4</f>
        <v>995</v>
      </c>
      <c r="J17" s="5">
        <f>Main!$D$4</f>
        <v>995</v>
      </c>
      <c r="K17" s="5">
        <f>Main!$D$4</f>
        <v>995</v>
      </c>
      <c r="L17" s="5">
        <f>Main!$D$4</f>
        <v>995</v>
      </c>
      <c r="M17" s="5">
        <f>Main!$D$4</f>
        <v>995</v>
      </c>
      <c r="N17" s="5">
        <f>Main!$D$4</f>
        <v>995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5">
        <f>Main!$D$4</f>
        <v>995</v>
      </c>
      <c r="AK17" s="5">
        <f>Main!$D$4</f>
        <v>995</v>
      </c>
      <c r="AL17" s="5">
        <f>Main!$D$4</f>
        <v>995</v>
      </c>
      <c r="AM17" s="5">
        <f>Main!$D$4</f>
        <v>995</v>
      </c>
      <c r="AN17" s="5">
        <f>Main!$D$4</f>
        <v>995</v>
      </c>
      <c r="AO17" s="5">
        <f>Main!$D$4</f>
        <v>995</v>
      </c>
      <c r="AP17" s="5">
        <f>Main!$D$4</f>
        <v>995</v>
      </c>
      <c r="AQ17" s="5">
        <f>Main!$D$4</f>
        <v>995</v>
      </c>
      <c r="AR17" s="5">
        <f>Main!$D$4</f>
        <v>995</v>
      </c>
      <c r="AS17" s="5">
        <f>Main!$D$4</f>
        <v>995</v>
      </c>
      <c r="AT17" s="5">
        <f>Main!$D$4</f>
        <v>995</v>
      </c>
      <c r="AU17" s="5">
        <f>Main!$D$4</f>
        <v>995</v>
      </c>
      <c r="AV17" s="5">
        <f>Main!$D$4</f>
        <v>995</v>
      </c>
      <c r="AW17" s="5">
        <f>Main!$D$4</f>
        <v>995</v>
      </c>
      <c r="AX17" s="5">
        <f>Main!$D$4</f>
        <v>995</v>
      </c>
      <c r="AY17" s="5">
        <f>Main!$D$4</f>
        <v>995</v>
      </c>
      <c r="AZ17" s="5">
        <f>Main!$D$4</f>
        <v>995</v>
      </c>
      <c r="BA17" s="5">
        <f>Main!$D$4</f>
        <v>995</v>
      </c>
    </row>
    <row r="18" spans="2:56" s="3" customFormat="1" x14ac:dyDescent="0.3">
      <c r="B18" s="3" t="s">
        <v>33</v>
      </c>
      <c r="C18" s="6">
        <f t="shared" ref="C18:N18" si="65">C16/C17</f>
        <v>1.0512562814070352</v>
      </c>
      <c r="D18" s="6">
        <f t="shared" si="65"/>
        <v>2.4020100502512562</v>
      </c>
      <c r="E18" s="6">
        <f t="shared" si="65"/>
        <v>2.5467336683417083</v>
      </c>
      <c r="F18" s="6">
        <f t="shared" si="65"/>
        <v>2.0542713567839197</v>
      </c>
      <c r="G18" s="6">
        <f t="shared" si="65"/>
        <v>2.1678391959798997</v>
      </c>
      <c r="H18" s="6">
        <f t="shared" si="65"/>
        <v>2.430150753768844</v>
      </c>
      <c r="I18" s="6">
        <f t="shared" si="65"/>
        <v>2.3628140703517588</v>
      </c>
      <c r="J18" s="6">
        <f t="shared" si="65"/>
        <v>-0.19497487437185929</v>
      </c>
      <c r="K18" s="6">
        <f t="shared" si="65"/>
        <v>0.29547738693467335</v>
      </c>
      <c r="L18" s="6">
        <f t="shared" si="65"/>
        <v>-0.76180904522613069</v>
      </c>
      <c r="M18" s="6">
        <f t="shared" si="65"/>
        <v>4.0653266331658289</v>
      </c>
      <c r="N18" s="6">
        <f t="shared" si="65"/>
        <v>2.6172611839195978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>
        <f>SUM(C18:F18)</f>
        <v>8.0542713567839197</v>
      </c>
      <c r="AK18" s="6">
        <f>SUM(G18:J18)</f>
        <v>6.7658291457286426</v>
      </c>
      <c r="AL18" s="6">
        <f t="shared" ref="AL18:AM18" si="66">AL16/AL17</f>
        <v>6.4592964824120607</v>
      </c>
      <c r="AM18" s="6">
        <f t="shared" si="66"/>
        <v>10.069346733668342</v>
      </c>
      <c r="AN18" s="6">
        <f t="shared" ref="AN18:AO18" si="67">AN16/AN17</f>
        <v>9.9839195979899493</v>
      </c>
      <c r="AO18" s="6">
        <f t="shared" si="67"/>
        <v>10.17889447236181</v>
      </c>
      <c r="AP18" s="6">
        <f t="shared" ref="AP18:AV18" si="68">AP16/AP17</f>
        <v>6.0391959798994979</v>
      </c>
      <c r="AQ18" s="6">
        <f t="shared" si="68"/>
        <v>10.322245065326632</v>
      </c>
      <c r="AR18" s="6">
        <f t="shared" si="68"/>
        <v>10.611729577005027</v>
      </c>
      <c r="AS18" s="6">
        <f t="shared" si="68"/>
        <v>10.88274427651956</v>
      </c>
      <c r="AT18" s="6">
        <f t="shared" si="68"/>
        <v>11.139504499244119</v>
      </c>
      <c r="AU18" s="6">
        <f t="shared" si="68"/>
        <v>11.385388744023544</v>
      </c>
      <c r="AV18" s="6">
        <f t="shared" si="68"/>
        <v>11.623106110919398</v>
      </c>
      <c r="AW18" s="6">
        <f t="shared" ref="AW18:BA18" si="69">AW16/AW17</f>
        <v>11.854830252176141</v>
      </c>
      <c r="AX18" s="6">
        <f t="shared" si="69"/>
        <v>12.082306533771664</v>
      </c>
      <c r="AY18" s="6">
        <f t="shared" si="69"/>
        <v>12.306937765443747</v>
      </c>
      <c r="AZ18" s="6">
        <f t="shared" si="69"/>
        <v>12.529852785505641</v>
      </c>
      <c r="BA18" s="6">
        <f t="shared" si="69"/>
        <v>12.751961329501345</v>
      </c>
    </row>
    <row r="20" spans="2:56" x14ac:dyDescent="0.3">
      <c r="B20" s="3" t="s">
        <v>34</v>
      </c>
      <c r="C20" s="7">
        <f t="shared" ref="C20:G20" si="70">C5/C3</f>
        <v>0.16385495443087067</v>
      </c>
      <c r="D20" s="7">
        <f t="shared" si="70"/>
        <v>0.18196409140369968</v>
      </c>
      <c r="E20" s="7">
        <f t="shared" si="70"/>
        <v>0.20278841049425833</v>
      </c>
      <c r="F20" s="7">
        <f t="shared" si="70"/>
        <v>0.17008255423318316</v>
      </c>
      <c r="G20" s="7">
        <f t="shared" si="70"/>
        <v>0.190635930959344</v>
      </c>
      <c r="H20" s="7">
        <f>H5/H3</f>
        <v>0.2144481419855796</v>
      </c>
      <c r="I20" s="7">
        <f t="shared" ref="I20:N20" si="71">I5/I3</f>
        <v>0.20576212894313986</v>
      </c>
      <c r="J20" s="7">
        <f t="shared" si="71"/>
        <v>0.15911892558230065</v>
      </c>
      <c r="K20" s="7">
        <f t="shared" si="71"/>
        <v>0.18291601699837964</v>
      </c>
      <c r="L20" s="7">
        <f t="shared" si="71"/>
        <v>0.19871259983311479</v>
      </c>
      <c r="M20" s="7">
        <f t="shared" si="71"/>
        <v>0.23424464487034949</v>
      </c>
      <c r="N20" s="7">
        <f t="shared" si="71"/>
        <v>0.21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J20" s="7">
        <f t="shared" ref="AJ20:AV20" si="72">AJ5/AJ3</f>
        <v>0.17948438955722243</v>
      </c>
      <c r="AK20" s="7">
        <f t="shared" si="72"/>
        <v>0.19372326704897366</v>
      </c>
      <c r="AL20" s="7">
        <f t="shared" si="72"/>
        <v>0.20366575499040698</v>
      </c>
      <c r="AM20" s="7">
        <f>AM5/AM3</f>
        <v>0.20833989480646278</v>
      </c>
      <c r="AN20" s="7">
        <f>AN5/AN3</f>
        <v>0.19040418540849205</v>
      </c>
      <c r="AO20" s="7">
        <f>AO5/AO3</f>
        <v>0.17755845485969671</v>
      </c>
      <c r="AP20" s="7">
        <f>AP5/AP3</f>
        <v>0.19407069920295345</v>
      </c>
      <c r="AQ20" s="7">
        <f t="shared" si="72"/>
        <v>0.19</v>
      </c>
      <c r="AR20" s="7">
        <f t="shared" si="72"/>
        <v>0.19</v>
      </c>
      <c r="AS20" s="7">
        <f t="shared" si="72"/>
        <v>0.19</v>
      </c>
      <c r="AT20" s="7">
        <f t="shared" si="72"/>
        <v>0.19</v>
      </c>
      <c r="AU20" s="7">
        <f t="shared" si="72"/>
        <v>0.19000000000000003</v>
      </c>
      <c r="AV20" s="7">
        <f t="shared" si="72"/>
        <v>0.19</v>
      </c>
      <c r="AW20" s="7">
        <f t="shared" ref="AW20:BA20" si="73">AW5/AW3</f>
        <v>0.19</v>
      </c>
      <c r="AX20" s="7">
        <f t="shared" si="73"/>
        <v>0.19</v>
      </c>
      <c r="AY20" s="7">
        <f t="shared" si="73"/>
        <v>0.19</v>
      </c>
      <c r="AZ20" s="7">
        <f t="shared" si="73"/>
        <v>0.19000000000000003</v>
      </c>
      <c r="BA20" s="7">
        <f t="shared" si="73"/>
        <v>0.19</v>
      </c>
    </row>
    <row r="21" spans="2:56" x14ac:dyDescent="0.3">
      <c r="B21" s="3" t="s">
        <v>35</v>
      </c>
      <c r="C21" s="7">
        <f t="shared" ref="C21:G21" si="74">C8/C3</f>
        <v>1.4654145544197901E-2</v>
      </c>
      <c r="D21" s="7">
        <f t="shared" si="74"/>
        <v>4.0179542981501636E-2</v>
      </c>
      <c r="E21" s="7">
        <f t="shared" si="74"/>
        <v>4.4983375708977119E-2</v>
      </c>
      <c r="F21" s="7">
        <f t="shared" si="74"/>
        <v>2.1589103882913619E-2</v>
      </c>
      <c r="G21" s="7">
        <f t="shared" si="74"/>
        <v>3.5667182751304545E-2</v>
      </c>
      <c r="H21" s="7">
        <f>H8/H3</f>
        <v>6.8968386023294512E-2</v>
      </c>
      <c r="I21" s="7">
        <f t="shared" ref="I21:N21" si="75">I8/I3</f>
        <v>6.4950807656527498E-2</v>
      </c>
      <c r="J21" s="7">
        <f t="shared" si="75"/>
        <v>-1.7971841951599298E-2</v>
      </c>
      <c r="K21" s="7">
        <f t="shared" si="75"/>
        <v>2.0086214803265157E-2</v>
      </c>
      <c r="L21" s="7">
        <f t="shared" si="75"/>
        <v>-7.2356657527714863E-2</v>
      </c>
      <c r="M21" s="7">
        <f t="shared" si="75"/>
        <v>0.12468996617812853</v>
      </c>
      <c r="N21" s="7">
        <f t="shared" si="75"/>
        <v>7.9690294636901374E-2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J21" s="7">
        <f t="shared" ref="AJ21:AV21" si="76">AJ8/AJ3</f>
        <v>3.0228019231684677E-2</v>
      </c>
      <c r="AK21" s="7">
        <f t="shared" si="76"/>
        <v>3.9938209083556185E-2</v>
      </c>
      <c r="AL21" s="7">
        <f t="shared" si="76"/>
        <v>5.4161734089888558E-2</v>
      </c>
      <c r="AM21" s="7">
        <f>AM8/AM3</f>
        <v>7.3415010550848786E-2</v>
      </c>
      <c r="AN21" s="7">
        <f>AN8/AN3</f>
        <v>6.580534022394488E-2</v>
      </c>
      <c r="AO21" s="7">
        <f>AO8/AO3</f>
        <v>5.4107843251358805E-2</v>
      </c>
      <c r="AP21" s="7">
        <f>AP8/AP3</f>
        <v>6.8202430618538007E-2</v>
      </c>
      <c r="AQ21" s="7">
        <f t="shared" si="76"/>
        <v>6.4131731415584536E-2</v>
      </c>
      <c r="AR21" s="7">
        <f t="shared" si="76"/>
        <v>6.4131731415584564E-2</v>
      </c>
      <c r="AS21" s="7">
        <f t="shared" si="76"/>
        <v>6.413173141558455E-2</v>
      </c>
      <c r="AT21" s="7">
        <f t="shared" si="76"/>
        <v>6.4131731415584564E-2</v>
      </c>
      <c r="AU21" s="7">
        <f t="shared" si="76"/>
        <v>6.4131731415584592E-2</v>
      </c>
      <c r="AV21" s="7">
        <f t="shared" si="76"/>
        <v>6.4131731415584578E-2</v>
      </c>
      <c r="AW21" s="7">
        <f t="shared" ref="AW21:BA21" si="77">AW8/AW3</f>
        <v>6.413173141558455E-2</v>
      </c>
      <c r="AX21" s="7">
        <f t="shared" si="77"/>
        <v>6.4131731415584578E-2</v>
      </c>
      <c r="AY21" s="7">
        <f t="shared" si="77"/>
        <v>6.4131731415584564E-2</v>
      </c>
      <c r="AZ21" s="7">
        <f t="shared" si="77"/>
        <v>6.4131731415584564E-2</v>
      </c>
      <c r="BA21" s="7">
        <f t="shared" si="77"/>
        <v>6.4131731415584536E-2</v>
      </c>
    </row>
    <row r="22" spans="2:56" x14ac:dyDescent="0.3">
      <c r="B22" s="1" t="s">
        <v>49</v>
      </c>
      <c r="G22" s="8">
        <f>G6/C6-1</f>
        <v>-0.11509274873524455</v>
      </c>
      <c r="H22" s="8">
        <f t="shared" ref="H22:N22" si="78">H6/D6-1</f>
        <v>-5.1444043321299593E-2</v>
      </c>
      <c r="I22" s="8">
        <f t="shared" si="78"/>
        <v>-0.22291021671826627</v>
      </c>
      <c r="J22" s="8">
        <f t="shared" si="78"/>
        <v>-7.9096045197740161E-2</v>
      </c>
      <c r="K22" s="8">
        <f t="shared" si="78"/>
        <v>-6.1457837065269194E-2</v>
      </c>
      <c r="L22" s="8">
        <f t="shared" si="78"/>
        <v>-0.37678401522359661</v>
      </c>
      <c r="M22" s="8">
        <f t="shared" si="78"/>
        <v>-0.18924302788844627</v>
      </c>
      <c r="N22" s="8">
        <f t="shared" si="78"/>
        <v>-9.9999999999999867E-2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K22" s="7">
        <f>AK6/AJ6-1</f>
        <v>-0.12010362694300514</v>
      </c>
      <c r="AL22" s="7">
        <f t="shared" ref="AL22:AV22" si="79">AL6/AK6-1</f>
        <v>-0.17112236485690735</v>
      </c>
      <c r="AM22" s="7">
        <f>AM7/AL6-1</f>
        <v>0.21938050582551871</v>
      </c>
      <c r="AN22" s="7">
        <f>AN7/AM7-1</f>
        <v>3.2626427406198921E-2</v>
      </c>
      <c r="AO22" s="7">
        <f>AO7/AN7-1</f>
        <v>0.28345745881290907</v>
      </c>
      <c r="AP22" s="7">
        <f>AP7/AO7-1</f>
        <v>0.14049586776859502</v>
      </c>
      <c r="AQ22" s="7">
        <f>AQ6/AP7-1</f>
        <v>1.0000000000000009E-2</v>
      </c>
      <c r="AR22" s="7">
        <f t="shared" si="79"/>
        <v>1.0000000000000009E-2</v>
      </c>
      <c r="AS22" s="7">
        <f t="shared" si="79"/>
        <v>1.0000000000000009E-2</v>
      </c>
      <c r="AT22" s="7">
        <f t="shared" si="79"/>
        <v>1.0000000000000009E-2</v>
      </c>
      <c r="AU22" s="7">
        <f t="shared" si="79"/>
        <v>1.0000000000000009E-2</v>
      </c>
      <c r="AV22" s="7">
        <f t="shared" si="79"/>
        <v>1.0000000000000009E-2</v>
      </c>
      <c r="AW22" s="7">
        <f t="shared" ref="AW22" si="80">AW6/AV6-1</f>
        <v>1.0000000000000009E-2</v>
      </c>
      <c r="AX22" s="7">
        <f t="shared" ref="AX22" si="81">AX6/AW6-1</f>
        <v>1.0000000000000009E-2</v>
      </c>
      <c r="AY22" s="7">
        <f t="shared" ref="AY22" si="82">AY6/AX6-1</f>
        <v>1.0000000000000009E-2</v>
      </c>
      <c r="AZ22" s="7">
        <f t="shared" ref="AZ22" si="83">AZ6/AY6-1</f>
        <v>1.0000000000000009E-2</v>
      </c>
      <c r="BA22" s="7">
        <f t="shared" ref="BA22" si="84">BA6/AZ6-1</f>
        <v>1.0000000000000009E-2</v>
      </c>
    </row>
    <row r="23" spans="2:56" x14ac:dyDescent="0.3">
      <c r="B23" s="3" t="s">
        <v>36</v>
      </c>
      <c r="G23" s="7">
        <f t="shared" ref="G23:J23" si="85">G3/C3-1</f>
        <v>-3.3823651624698692E-2</v>
      </c>
      <c r="H23" s="7">
        <f t="shared" si="85"/>
        <v>-1.9042437431991299E-2</v>
      </c>
      <c r="I23" s="7">
        <f t="shared" si="85"/>
        <v>-8.8849152021457378E-3</v>
      </c>
      <c r="J23" s="7">
        <f t="shared" si="85"/>
        <v>-0.19721867756972833</v>
      </c>
      <c r="K23" s="7">
        <f>K3/G3-1</f>
        <v>-6.2188198864613797E-2</v>
      </c>
      <c r="L23" s="7">
        <f>L3/H3-1</f>
        <v>-0.53471991125901275</v>
      </c>
      <c r="M23" s="7">
        <f>M3/I3-1</f>
        <v>1.9733318298431612E-4</v>
      </c>
      <c r="N23" s="7">
        <f>N3/J3-1</f>
        <v>0.25812593265425288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J23" s="7"/>
      <c r="AK23" s="7">
        <f t="shared" ref="AK23:AP23" si="86">AK3/AJ3-1</f>
        <v>-6.6726057300627639E-2</v>
      </c>
      <c r="AL23" s="7">
        <f t="shared" si="86"/>
        <v>-0.10749287728528023</v>
      </c>
      <c r="AM23" s="7">
        <f t="shared" si="86"/>
        <v>3.6894313589419081E-2</v>
      </c>
      <c r="AN23" s="7">
        <f t="shared" si="86"/>
        <v>0.23409498913420057</v>
      </c>
      <c r="AO23" s="7">
        <f t="shared" si="86"/>
        <v>9.63856190385044E-2</v>
      </c>
      <c r="AP23" s="7">
        <f t="shared" si="86"/>
        <v>9.0781066328371463E-2</v>
      </c>
      <c r="AQ23" s="7">
        <f t="shared" ref="AQ23:AV23" si="87">AQ3/AP3-1</f>
        <v>1.0000000000000009E-2</v>
      </c>
      <c r="AR23" s="7">
        <f t="shared" si="87"/>
        <v>1.0000000000000009E-2</v>
      </c>
      <c r="AS23" s="7">
        <f t="shared" si="87"/>
        <v>1.0000000000000009E-2</v>
      </c>
      <c r="AT23" s="7">
        <f t="shared" si="87"/>
        <v>1.0000000000000009E-2</v>
      </c>
      <c r="AU23" s="7">
        <f t="shared" si="87"/>
        <v>1.0000000000000009E-2</v>
      </c>
      <c r="AV23" s="7">
        <f t="shared" si="87"/>
        <v>1.0000000000000009E-2</v>
      </c>
      <c r="AW23" s="7">
        <f t="shared" ref="AW23" si="88">AW3/AV3-1</f>
        <v>1.0000000000000009E-2</v>
      </c>
      <c r="AX23" s="7">
        <f t="shared" ref="AX23" si="89">AX3/AW3-1</f>
        <v>1.0000000000000009E-2</v>
      </c>
      <c r="AY23" s="7">
        <f t="shared" ref="AY23" si="90">AY3/AX3-1</f>
        <v>1.0000000000000009E-2</v>
      </c>
      <c r="AZ23" s="7">
        <f t="shared" ref="AZ23" si="91">AZ3/AY3-1</f>
        <v>1.0000000000000009E-2</v>
      </c>
      <c r="BA23" s="7">
        <f t="shared" ref="BA23" si="92">BA3/AZ3-1</f>
        <v>1.0000000000000009E-2</v>
      </c>
    </row>
    <row r="24" spans="2:56" x14ac:dyDescent="0.3">
      <c r="BC24" s="1" t="s">
        <v>38</v>
      </c>
      <c r="BD24" s="8">
        <v>-0.01</v>
      </c>
    </row>
    <row r="25" spans="2:56" x14ac:dyDescent="0.3">
      <c r="B25" s="3" t="s">
        <v>29</v>
      </c>
      <c r="C25" s="7">
        <f t="shared" ref="C25:G25" si="93">C14/C13</f>
        <v>0.29568527918781728</v>
      </c>
      <c r="D25" s="7">
        <f t="shared" si="93"/>
        <v>0.17989601386481802</v>
      </c>
      <c r="E25" s="7">
        <f t="shared" si="93"/>
        <v>3.8022813688212927E-2</v>
      </c>
      <c r="F25" s="7">
        <f t="shared" si="93"/>
        <v>-0.41906721536351166</v>
      </c>
      <c r="G25" s="7">
        <f t="shared" si="93"/>
        <v>6.0035056967572303E-2</v>
      </c>
      <c r="H25" s="7">
        <f>H14/H13</f>
        <v>0.17902289033139734</v>
      </c>
      <c r="I25" s="7">
        <f t="shared" ref="I25:N25" si="94">I14/I13</f>
        <v>0.10495739736638265</v>
      </c>
      <c r="J25" s="7">
        <f t="shared" si="94"/>
        <v>0.45915492957746479</v>
      </c>
      <c r="K25" s="7">
        <f t="shared" si="94"/>
        <v>0.55520995334370138</v>
      </c>
      <c r="L25" s="7">
        <f t="shared" si="94"/>
        <v>0.12556053811659193</v>
      </c>
      <c r="M25" s="7">
        <f t="shared" si="94"/>
        <v>0.18083588175331294</v>
      </c>
      <c r="N25" s="7">
        <f t="shared" si="94"/>
        <v>0.18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J25" s="7">
        <f t="shared" ref="AJ25:AV25" si="95">AJ14/AJ13</f>
        <v>5.5445081296058019E-2</v>
      </c>
      <c r="AK25" s="7">
        <f t="shared" si="95"/>
        <v>0.10341581495427649</v>
      </c>
      <c r="AL25" s="7">
        <f t="shared" si="95"/>
        <v>0.21914762198888202</v>
      </c>
      <c r="AM25" s="7">
        <f t="shared" si="95"/>
        <v>0.21791443850267381</v>
      </c>
      <c r="AN25" s="7">
        <f t="shared" si="95"/>
        <v>0.1628147637116247</v>
      </c>
      <c r="AO25" s="7">
        <f t="shared" si="95"/>
        <v>5.4113802383698575E-2</v>
      </c>
      <c r="AP25" s="7">
        <f t="shared" si="95"/>
        <v>0.3</v>
      </c>
      <c r="AQ25" s="7">
        <f t="shared" si="95"/>
        <v>0.2</v>
      </c>
      <c r="AR25" s="7">
        <f t="shared" si="95"/>
        <v>0.2</v>
      </c>
      <c r="AS25" s="7">
        <f t="shared" si="95"/>
        <v>0.20000000000000004</v>
      </c>
      <c r="AT25" s="7">
        <f t="shared" si="95"/>
        <v>0.20000000000000004</v>
      </c>
      <c r="AU25" s="7">
        <f t="shared" si="95"/>
        <v>0.2</v>
      </c>
      <c r="AV25" s="7">
        <f t="shared" si="95"/>
        <v>0.2</v>
      </c>
      <c r="AW25" s="7">
        <f t="shared" ref="AW25:BA25" si="96">AW14/AW13</f>
        <v>0.2</v>
      </c>
      <c r="AX25" s="7">
        <f t="shared" si="96"/>
        <v>0.2</v>
      </c>
      <c r="AY25" s="7">
        <f t="shared" si="96"/>
        <v>0.2</v>
      </c>
      <c r="AZ25" s="7">
        <f t="shared" si="96"/>
        <v>0.2</v>
      </c>
      <c r="BA25" s="7">
        <f t="shared" si="96"/>
        <v>0.2</v>
      </c>
      <c r="BC25" s="1" t="s">
        <v>39</v>
      </c>
      <c r="BD25" s="8">
        <v>7.0000000000000007E-2</v>
      </c>
    </row>
    <row r="26" spans="2:56" x14ac:dyDescent="0.3">
      <c r="BC26" s="1" t="s">
        <v>40</v>
      </c>
      <c r="BD26" s="5">
        <f>NPV(BD25,AL16:EB16)</f>
        <v>148744.85202207766</v>
      </c>
    </row>
    <row r="27" spans="2:56" x14ac:dyDescent="0.3">
      <c r="B27" s="1" t="s">
        <v>37</v>
      </c>
      <c r="C27" s="7">
        <f>C6/C3</f>
        <v>6.5708191362641624E-2</v>
      </c>
      <c r="D27" s="7">
        <f t="shared" ref="D27:N27" si="97">D6/D3</f>
        <v>6.0282916213275299E-2</v>
      </c>
      <c r="E27" s="7">
        <f t="shared" si="97"/>
        <v>7.2196921013662652E-2</v>
      </c>
      <c r="F27" s="7">
        <f t="shared" si="97"/>
        <v>6.4532930545066272E-2</v>
      </c>
      <c r="G27" s="7">
        <f t="shared" si="97"/>
        <v>6.0181203050633639E-2</v>
      </c>
      <c r="H27" s="7">
        <f t="shared" si="97"/>
        <v>5.8291735995562949E-2</v>
      </c>
      <c r="I27" s="7">
        <f t="shared" si="97"/>
        <v>5.6606433061765285E-2</v>
      </c>
      <c r="J27" s="7">
        <f t="shared" si="97"/>
        <v>7.4028417569584115E-2</v>
      </c>
      <c r="K27" s="7">
        <f t="shared" si="97"/>
        <v>6.0228071784524134E-2</v>
      </c>
      <c r="L27" s="7">
        <f t="shared" si="97"/>
        <v>7.8078436047204672E-2</v>
      </c>
      <c r="M27" s="7">
        <f t="shared" si="97"/>
        <v>4.5885005636978581E-2</v>
      </c>
      <c r="N27" s="7">
        <f t="shared" si="97"/>
        <v>5.295620580053266E-2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J27" s="7">
        <f t="shared" ref="AJ27:AV27" si="98">AJ6/AJ3</f>
        <v>6.5624383708831752E-2</v>
      </c>
      <c r="AK27" s="7">
        <f t="shared" si="98"/>
        <v>6.1871069755240933E-2</v>
      </c>
      <c r="AL27" s="7">
        <f t="shared" si="98"/>
        <v>5.7460097154753642E-2</v>
      </c>
      <c r="AM27" s="7">
        <f>AM7/AM3</f>
        <v>6.7572674876381841E-2</v>
      </c>
      <c r="AN27" s="7">
        <f>AN7/AN3</f>
        <v>5.6541295817781605E-2</v>
      </c>
      <c r="AO27" s="7">
        <f>AO7/AO3</f>
        <v>6.6188708231980545E-2</v>
      </c>
      <c r="AP27" s="7">
        <f>AP7/AP3</f>
        <v>6.9205407539398855E-2</v>
      </c>
      <c r="AQ27" s="7">
        <f t="shared" si="98"/>
        <v>6.9205407539398842E-2</v>
      </c>
      <c r="AR27" s="7">
        <f t="shared" si="98"/>
        <v>6.9205407539398842E-2</v>
      </c>
      <c r="AS27" s="7">
        <f t="shared" si="98"/>
        <v>6.9205407539398842E-2</v>
      </c>
      <c r="AT27" s="7">
        <f t="shared" si="98"/>
        <v>6.9205407539398842E-2</v>
      </c>
      <c r="AU27" s="7">
        <f t="shared" si="98"/>
        <v>6.9205407539398842E-2</v>
      </c>
      <c r="AV27" s="7">
        <f t="shared" si="98"/>
        <v>6.9205407539398842E-2</v>
      </c>
      <c r="AW27" s="7">
        <f t="shared" ref="AW27:BA27" si="99">AW6/AW3</f>
        <v>6.9205407539398842E-2</v>
      </c>
      <c r="AX27" s="7">
        <f t="shared" si="99"/>
        <v>6.9205407539398842E-2</v>
      </c>
      <c r="AY27" s="7">
        <f t="shared" si="99"/>
        <v>6.9205407539398842E-2</v>
      </c>
      <c r="AZ27" s="7">
        <f t="shared" si="99"/>
        <v>6.9205407539398842E-2</v>
      </c>
      <c r="BA27" s="7">
        <f t="shared" si="99"/>
        <v>6.9205407539398842E-2</v>
      </c>
      <c r="BC27" s="1" t="s">
        <v>47</v>
      </c>
      <c r="BD27" s="5">
        <f>Main!D8</f>
        <v>-102595</v>
      </c>
    </row>
    <row r="28" spans="2:56" x14ac:dyDescent="0.3">
      <c r="BC28" s="1" t="s">
        <v>41</v>
      </c>
      <c r="BD28" s="5">
        <f>BD26+BD27</f>
        <v>46149.852022077655</v>
      </c>
    </row>
    <row r="29" spans="2:56" s="3" customFormat="1" x14ac:dyDescent="0.3">
      <c r="B29" s="3" t="s">
        <v>72</v>
      </c>
      <c r="C29" s="7">
        <f>C16/C3</f>
        <v>2.8975871907809082E-2</v>
      </c>
      <c r="D29" s="7">
        <f t="shared" ref="D29:N29" si="100">D16/D3</f>
        <v>6.5016322089227419E-2</v>
      </c>
      <c r="E29" s="7">
        <f t="shared" si="100"/>
        <v>7.0799921768042243E-2</v>
      </c>
      <c r="F29" s="7">
        <f t="shared" si="100"/>
        <v>5.3230552878981222E-2</v>
      </c>
      <c r="G29" s="7">
        <f t="shared" si="100"/>
        <v>6.1844142439360053E-2</v>
      </c>
      <c r="H29" s="7">
        <f t="shared" si="100"/>
        <v>6.7054908485856907E-2</v>
      </c>
      <c r="I29" s="7">
        <f t="shared" si="100"/>
        <v>6.6275759027993125E-2</v>
      </c>
      <c r="J29" s="7">
        <f t="shared" si="100"/>
        <v>-6.293388697852462E-3</v>
      </c>
      <c r="K29" s="7">
        <f t="shared" si="100"/>
        <v>8.9883518297716233E-3</v>
      </c>
      <c r="L29" s="7">
        <f t="shared" si="100"/>
        <v>-4.5178209560138273E-2</v>
      </c>
      <c r="M29" s="7">
        <f t="shared" si="100"/>
        <v>0.11400789177001128</v>
      </c>
      <c r="N29" s="7">
        <f t="shared" si="100"/>
        <v>6.7147346762072749E-2</v>
      </c>
      <c r="AJ29" s="7">
        <f t="shared" ref="AJ29:BA29" si="101">AJ16/AJ3</f>
        <v>5.4498840522546908E-2</v>
      </c>
      <c r="AK29" s="7">
        <f t="shared" si="101"/>
        <v>4.9053826591954064E-2</v>
      </c>
      <c r="AL29" s="7">
        <f t="shared" si="101"/>
        <v>5.2471731232395805E-2</v>
      </c>
      <c r="AM29" s="7">
        <f t="shared" si="101"/>
        <v>7.8887279140814462E-2</v>
      </c>
      <c r="AN29" s="7">
        <f t="shared" si="101"/>
        <v>6.338086579257983E-2</v>
      </c>
      <c r="AO29" s="7">
        <f t="shared" si="101"/>
        <v>5.8937861523958052E-2</v>
      </c>
      <c r="AP29" s="7">
        <f t="shared" si="101"/>
        <v>3.2057916582196096E-2</v>
      </c>
      <c r="AQ29" s="7">
        <f t="shared" si="101"/>
        <v>5.4251151801835241E-2</v>
      </c>
      <c r="AR29" s="7">
        <f t="shared" si="101"/>
        <v>5.5220406305972199E-2</v>
      </c>
      <c r="AS29" s="7">
        <f t="shared" si="101"/>
        <v>5.6069989411763714E-2</v>
      </c>
      <c r="AT29" s="7">
        <f t="shared" si="101"/>
        <v>5.6824621198537338E-2</v>
      </c>
      <c r="AU29" s="7">
        <f t="shared" si="101"/>
        <v>5.7503882248122008E-2</v>
      </c>
      <c r="AV29" s="7">
        <f t="shared" si="101"/>
        <v>5.8123282252603166E-2</v>
      </c>
      <c r="AW29" s="7">
        <f t="shared" si="101"/>
        <v>5.8695106436308632E-2</v>
      </c>
      <c r="AX29" s="7">
        <f t="shared" si="101"/>
        <v>5.9229085989065518E-2</v>
      </c>
      <c r="AY29" s="7">
        <f t="shared" si="101"/>
        <v>5.9732929102444737E-2</v>
      </c>
      <c r="AZ29" s="7">
        <f t="shared" si="101"/>
        <v>6.0212741592530407E-2</v>
      </c>
      <c r="BA29" s="7">
        <f t="shared" si="101"/>
        <v>6.0673360066470845E-2</v>
      </c>
      <c r="BC29" s="1" t="s">
        <v>42</v>
      </c>
      <c r="BD29" s="9">
        <f>BD28/AV17</f>
        <v>46.381760826208698</v>
      </c>
    </row>
    <row r="30" spans="2:56" x14ac:dyDescent="0.3">
      <c r="BC30" s="1" t="s">
        <v>43</v>
      </c>
      <c r="BD30" s="9">
        <f>Main!D3</f>
        <v>45.55</v>
      </c>
    </row>
    <row r="31" spans="2:56" x14ac:dyDescent="0.3">
      <c r="BC31" s="3" t="s">
        <v>44</v>
      </c>
      <c r="BD31" s="7">
        <f>BD29/BD30-1</f>
        <v>1.8260391354746552E-2</v>
      </c>
    </row>
    <row r="32" spans="2:56" x14ac:dyDescent="0.3">
      <c r="BC32" s="1" t="s">
        <v>48</v>
      </c>
      <c r="BD32" s="2" t="s">
        <v>73</v>
      </c>
    </row>
  </sheetData>
  <phoneticPr fontId="1" type="noConversion"/>
  <pageMargins left="0.7" right="0.7" top="0.75" bottom="0.75" header="0.3" footer="0.3"/>
  <pageSetup paperSize="9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2020-09-11T11:13:39Z</cp:lastPrinted>
  <dcterms:created xsi:type="dcterms:W3CDTF">2020-09-09T19:42:33Z</dcterms:created>
  <dcterms:modified xsi:type="dcterms:W3CDTF">2025-04-24T17:51:56Z</dcterms:modified>
</cp:coreProperties>
</file>