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s\Desktop\Financial Analysis\"/>
    </mc:Choice>
  </mc:AlternateContent>
  <xr:revisionPtr revIDLastSave="0" documentId="13_ncr:1_{E24A033C-3070-4107-BF25-FEC2219647B2}" xr6:coauthVersionLast="47" xr6:coauthVersionMax="47" xr10:uidLastSave="{00000000-0000-0000-0000-000000000000}"/>
  <bookViews>
    <workbookView xWindow="-108" yWindow="-108" windowWidth="23256" windowHeight="12576" activeTab="1" xr2:uid="{B9889FC1-6C81-4A49-B2B3-546123B256C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B5" i="2" l="1"/>
  <c r="BA5" i="2"/>
  <c r="AZ5" i="2"/>
  <c r="AY5" i="2"/>
  <c r="AZ3" i="2"/>
  <c r="AZ4" i="2"/>
  <c r="BP5" i="2"/>
  <c r="AZ19" i="2"/>
  <c r="AY4" i="2"/>
  <c r="AY3" i="2"/>
  <c r="BJ72" i="2"/>
  <c r="BJ74" i="2" s="1"/>
  <c r="BK72" i="2"/>
  <c r="BK74" i="2" s="1"/>
  <c r="BK55" i="2"/>
  <c r="BJ55" i="2"/>
  <c r="BI55" i="2"/>
  <c r="BH55" i="2"/>
  <c r="BG55" i="2"/>
  <c r="BF55" i="2"/>
  <c r="BE55" i="2"/>
  <c r="BD55" i="2"/>
  <c r="AW74" i="2"/>
  <c r="AV74" i="2"/>
  <c r="AU74" i="2"/>
  <c r="AX74" i="2"/>
  <c r="BN74" i="2"/>
  <c r="BM74" i="2"/>
  <c r="BO74" i="2"/>
  <c r="BB16" i="2"/>
  <c r="BA16" i="2"/>
  <c r="AZ16" i="2"/>
  <c r="AY16" i="2"/>
  <c r="AX16" i="2"/>
  <c r="BZ16" i="2"/>
  <c r="BY16" i="2"/>
  <c r="BX16" i="2"/>
  <c r="BW16" i="2"/>
  <c r="BV16" i="2"/>
  <c r="BU16" i="2"/>
  <c r="BT16" i="2"/>
  <c r="BS16" i="2"/>
  <c r="BR16" i="2"/>
  <c r="BQ16" i="2"/>
  <c r="BP16" i="2"/>
  <c r="BP12" i="2"/>
  <c r="BP10" i="2"/>
  <c r="BP9" i="2"/>
  <c r="BP4" i="2"/>
  <c r="BB21" i="2"/>
  <c r="BB4" i="2"/>
  <c r="BB3" i="2"/>
  <c r="BB25" i="2"/>
  <c r="BA25" i="2"/>
  <c r="AZ25" i="2"/>
  <c r="AY25" i="2"/>
  <c r="BA21" i="2"/>
  <c r="AZ21" i="2"/>
  <c r="BB20" i="2"/>
  <c r="BA20" i="2"/>
  <c r="AZ20" i="2"/>
  <c r="AY20" i="2"/>
  <c r="BA19" i="2"/>
  <c r="BB9" i="2"/>
  <c r="BA9" i="2"/>
  <c r="AZ9" i="2"/>
  <c r="AY9" i="2"/>
  <c r="BA6" i="2"/>
  <c r="BA8" i="2" s="1"/>
  <c r="BA4" i="2"/>
  <c r="BA3" i="2"/>
  <c r="BA7" i="2" l="1"/>
  <c r="BA23" i="2"/>
  <c r="BA11" i="2"/>
  <c r="BA24" i="2" s="1"/>
  <c r="BA22" i="2"/>
  <c r="BA26" i="2"/>
  <c r="AY21" i="2"/>
  <c r="AZ6" i="2"/>
  <c r="AZ26" i="2" s="1"/>
  <c r="AY6" i="2"/>
  <c r="AY26" i="2" s="1"/>
  <c r="AY19" i="2"/>
  <c r="BP3" i="2"/>
  <c r="BA13" i="2"/>
  <c r="BB6" i="2"/>
  <c r="BB19" i="2"/>
  <c r="BB8" i="2" l="1"/>
  <c r="BB11" i="2" s="1"/>
  <c r="BA14" i="2"/>
  <c r="BA27" i="2" s="1"/>
  <c r="AZ8" i="2"/>
  <c r="AZ7" i="2" s="1"/>
  <c r="AZ22" i="2"/>
  <c r="AY8" i="2"/>
  <c r="AY23" i="2" s="1"/>
  <c r="AY22" i="2"/>
  <c r="BB22" i="2"/>
  <c r="BB26" i="2"/>
  <c r="BA15" i="2" l="1"/>
  <c r="BA28" i="2" s="1"/>
  <c r="BB23" i="2"/>
  <c r="BB7" i="2"/>
  <c r="AZ23" i="2"/>
  <c r="AZ11" i="2"/>
  <c r="AZ13" i="2" s="1"/>
  <c r="AY7" i="2"/>
  <c r="AY11" i="2"/>
  <c r="AY24" i="2" s="1"/>
  <c r="BB24" i="2"/>
  <c r="BB13" i="2"/>
  <c r="BA17" i="2" l="1"/>
  <c r="BB27" i="2"/>
  <c r="BB14" i="2"/>
  <c r="BB15" i="2" s="1"/>
  <c r="BP7" i="2"/>
  <c r="AZ24" i="2"/>
  <c r="AZ14" i="2"/>
  <c r="AZ27" i="2" s="1"/>
  <c r="AY13" i="2"/>
  <c r="AY14" i="2" s="1"/>
  <c r="D7" i="1"/>
  <c r="D6" i="1"/>
  <c r="D4" i="1"/>
  <c r="AX41" i="2"/>
  <c r="BO41" i="2" s="1"/>
  <c r="AX47" i="2"/>
  <c r="BO47" i="2" s="1"/>
  <c r="AX51" i="2"/>
  <c r="AX19" i="2"/>
  <c r="AW19" i="2"/>
  <c r="BO16" i="2"/>
  <c r="AW16" i="2"/>
  <c r="AP51" i="2"/>
  <c r="AP47" i="2"/>
  <c r="AP41" i="2"/>
  <c r="AP36" i="2"/>
  <c r="AP30" i="2"/>
  <c r="AO30" i="2"/>
  <c r="AO51" i="2"/>
  <c r="AO47" i="2"/>
  <c r="AO41" i="2"/>
  <c r="AO36" i="2"/>
  <c r="AS51" i="2"/>
  <c r="AS47" i="2"/>
  <c r="AS41" i="2"/>
  <c r="AS36" i="2"/>
  <c r="AS30" i="2"/>
  <c r="BQ12" i="2"/>
  <c r="BR12" i="2" s="1"/>
  <c r="BS12" i="2" s="1"/>
  <c r="BT12" i="2" s="1"/>
  <c r="BU12" i="2" s="1"/>
  <c r="BV12" i="2" s="1"/>
  <c r="BW12" i="2" s="1"/>
  <c r="BX12" i="2" s="1"/>
  <c r="BY12" i="2" s="1"/>
  <c r="BZ12" i="2" s="1"/>
  <c r="AX21" i="2"/>
  <c r="AW21" i="2"/>
  <c r="AW20" i="2"/>
  <c r="AV71" i="2"/>
  <c r="BO71" i="2" s="1"/>
  <c r="AV70" i="2"/>
  <c r="BO70" i="2" s="1"/>
  <c r="AV69" i="2"/>
  <c r="AV68" i="2"/>
  <c r="BO68" i="2" s="1"/>
  <c r="AV67" i="2"/>
  <c r="AV66" i="2"/>
  <c r="AV65" i="2"/>
  <c r="AV64" i="2"/>
  <c r="BO64" i="2" s="1"/>
  <c r="AV63" i="2"/>
  <c r="BO63" i="2" s="1"/>
  <c r="AV57" i="2"/>
  <c r="BO57" i="2" s="1"/>
  <c r="AV56" i="2"/>
  <c r="BO56" i="2" s="1"/>
  <c r="AV8" i="2"/>
  <c r="AV11" i="2" s="1"/>
  <c r="BO50" i="2"/>
  <c r="BO49" i="2"/>
  <c r="BO48" i="2"/>
  <c r="BO46" i="2"/>
  <c r="BO45" i="2"/>
  <c r="BO44" i="2"/>
  <c r="BO43" i="2"/>
  <c r="BO40" i="2"/>
  <c r="BO39" i="2"/>
  <c r="BO38" i="2"/>
  <c r="BO37" i="2"/>
  <c r="BO35" i="2"/>
  <c r="BO34" i="2"/>
  <c r="BO33" i="2"/>
  <c r="BO32" i="2"/>
  <c r="AW51" i="2"/>
  <c r="AW47" i="2"/>
  <c r="AW41" i="2"/>
  <c r="BO62" i="2"/>
  <c r="BO61" i="2"/>
  <c r="BO60" i="2"/>
  <c r="BO59" i="2"/>
  <c r="BO58" i="2"/>
  <c r="AV51" i="2"/>
  <c r="AV47" i="2"/>
  <c r="AV41" i="2"/>
  <c r="BL51" i="2"/>
  <c r="BL47" i="2"/>
  <c r="BL41" i="2"/>
  <c r="BL36" i="2"/>
  <c r="BL30" i="2"/>
  <c r="BM30" i="2"/>
  <c r="BM51" i="2"/>
  <c r="BM47" i="2"/>
  <c r="BM41" i="2"/>
  <c r="BM36" i="2"/>
  <c r="BN51" i="2"/>
  <c r="BN47" i="2"/>
  <c r="BN41" i="2"/>
  <c r="BN36" i="2"/>
  <c r="BN30" i="2"/>
  <c r="AQ51" i="2"/>
  <c r="AQ47" i="2"/>
  <c r="AQ41" i="2"/>
  <c r="AQ36" i="2"/>
  <c r="AQ30" i="2"/>
  <c r="AT51" i="2"/>
  <c r="AT47" i="2"/>
  <c r="AT41" i="2"/>
  <c r="AT36" i="2"/>
  <c r="AT30" i="2"/>
  <c r="AU30" i="2"/>
  <c r="AU36" i="2"/>
  <c r="AU41" i="2"/>
  <c r="AU47" i="2"/>
  <c r="AU51" i="2"/>
  <c r="AU52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BN16" i="2"/>
  <c r="BM16" i="2"/>
  <c r="AT9" i="2"/>
  <c r="AT26" i="2" s="1"/>
  <c r="BL5" i="2"/>
  <c r="BL21" i="2" s="1"/>
  <c r="BL4" i="2"/>
  <c r="BL20" i="2" s="1"/>
  <c r="BL3" i="2"/>
  <c r="BL19" i="2" s="1"/>
  <c r="BO12" i="2"/>
  <c r="BO10" i="2"/>
  <c r="BN14" i="2"/>
  <c r="BN10" i="2"/>
  <c r="BN7" i="2"/>
  <c r="BN6" i="2"/>
  <c r="BN5" i="2"/>
  <c r="BN4" i="2"/>
  <c r="BN3" i="2"/>
  <c r="BM14" i="2"/>
  <c r="BM12" i="2"/>
  <c r="BM10" i="2"/>
  <c r="BM7" i="2"/>
  <c r="BM3" i="2"/>
  <c r="BM4" i="2"/>
  <c r="BM20" i="2" s="1"/>
  <c r="BM5" i="2"/>
  <c r="AL6" i="2"/>
  <c r="AL8" i="2" s="1"/>
  <c r="AL11" i="2" s="1"/>
  <c r="AK6" i="2"/>
  <c r="AK8" i="2" s="1"/>
  <c r="AK11" i="2" s="1"/>
  <c r="AJ6" i="2"/>
  <c r="AJ8" i="2" s="1"/>
  <c r="AJ11" i="2" s="1"/>
  <c r="BL9" i="2"/>
  <c r="AU26" i="2"/>
  <c r="AS26" i="2"/>
  <c r="AR26" i="2"/>
  <c r="AQ26" i="2"/>
  <c r="AO26" i="2"/>
  <c r="AU25" i="2"/>
  <c r="AS25" i="2"/>
  <c r="AR25" i="2"/>
  <c r="AQ25" i="2"/>
  <c r="AO25" i="2"/>
  <c r="AN25" i="2"/>
  <c r="AM25" i="2"/>
  <c r="AU22" i="2"/>
  <c r="AT22" i="2"/>
  <c r="AS22" i="2"/>
  <c r="AT12" i="2"/>
  <c r="AS12" i="2"/>
  <c r="AR12" i="2"/>
  <c r="AQ12" i="2"/>
  <c r="AP9" i="2"/>
  <c r="AP25" i="2" s="1"/>
  <c r="AU8" i="2"/>
  <c r="AU11" i="2" s="1"/>
  <c r="AT8" i="2"/>
  <c r="AT23" i="2" s="1"/>
  <c r="AS8" i="2"/>
  <c r="AS11" i="2" s="1"/>
  <c r="AR8" i="2"/>
  <c r="AR11" i="2" s="1"/>
  <c r="AQ8" i="2"/>
  <c r="AQ11" i="2" s="1"/>
  <c r="AP8" i="2"/>
  <c r="AP23" i="2" s="1"/>
  <c r="AO8" i="2"/>
  <c r="AO11" i="2" s="1"/>
  <c r="AN6" i="2"/>
  <c r="AN8" i="2" s="1"/>
  <c r="AN11" i="2" s="1"/>
  <c r="AM6" i="2"/>
  <c r="AM8" i="2" s="1"/>
  <c r="AM11" i="2" s="1"/>
  <c r="AI8" i="2"/>
  <c r="AI11" i="2" s="1"/>
  <c r="AI12" i="2"/>
  <c r="BD6" i="2"/>
  <c r="BE6" i="2"/>
  <c r="BF6" i="2"/>
  <c r="BG6" i="2"/>
  <c r="BH6" i="2"/>
  <c r="BI6" i="2"/>
  <c r="BJ6" i="2"/>
  <c r="BK6" i="2"/>
  <c r="BD7" i="2"/>
  <c r="BE7" i="2"/>
  <c r="BF7" i="2"/>
  <c r="BG7" i="2"/>
  <c r="BH7" i="2"/>
  <c r="BI7" i="2"/>
  <c r="BJ7" i="2"/>
  <c r="BK7" i="2"/>
  <c r="BD9" i="2"/>
  <c r="BE9" i="2"/>
  <c r="BF9" i="2"/>
  <c r="BG9" i="2"/>
  <c r="BH9" i="2"/>
  <c r="BI9" i="2"/>
  <c r="BJ9" i="2"/>
  <c r="BK9" i="2"/>
  <c r="BD14" i="2"/>
  <c r="BE14" i="2"/>
  <c r="BF14" i="2"/>
  <c r="BG14" i="2"/>
  <c r="BH14" i="2"/>
  <c r="BI14" i="2"/>
  <c r="BJ14" i="2"/>
  <c r="BK14" i="2"/>
  <c r="AX20" i="2"/>
  <c r="AV20" i="2"/>
  <c r="AV19" i="2"/>
  <c r="BP14" i="2" l="1"/>
  <c r="AY27" i="2"/>
  <c r="BB17" i="2"/>
  <c r="BB28" i="2"/>
  <c r="AZ15" i="2"/>
  <c r="AZ17" i="2" s="1"/>
  <c r="AZ28" i="2"/>
  <c r="AY15" i="2"/>
  <c r="AY17" i="2" s="1"/>
  <c r="BN53" i="2"/>
  <c r="BL42" i="2"/>
  <c r="BO67" i="2"/>
  <c r="AT11" i="2"/>
  <c r="BM42" i="2"/>
  <c r="BN42" i="2"/>
  <c r="AN13" i="2"/>
  <c r="AN15" i="2" s="1"/>
  <c r="AN17" i="2" s="1"/>
  <c r="AO13" i="2"/>
  <c r="AO15" i="2" s="1"/>
  <c r="AO17" i="2" s="1"/>
  <c r="AP11" i="2"/>
  <c r="AJ13" i="2"/>
  <c r="AJ15" i="2" s="1"/>
  <c r="AJ17" i="2" s="1"/>
  <c r="AU42" i="2"/>
  <c r="BO51" i="2"/>
  <c r="AP53" i="2"/>
  <c r="AP42" i="2"/>
  <c r="AM13" i="2"/>
  <c r="AM15" i="2" s="1"/>
  <c r="AM17" i="2" s="1"/>
  <c r="AU13" i="2"/>
  <c r="AU15" i="2" s="1"/>
  <c r="AU17" i="2" s="1"/>
  <c r="AK13" i="2"/>
  <c r="AK15" i="2" s="1"/>
  <c r="AK17" i="2" s="1"/>
  <c r="AL13" i="2"/>
  <c r="AL15" i="2" s="1"/>
  <c r="AL17" i="2" s="1"/>
  <c r="AO53" i="2"/>
  <c r="AO42" i="2"/>
  <c r="AS53" i="2"/>
  <c r="AS42" i="2"/>
  <c r="BO69" i="2"/>
  <c r="BO65" i="2"/>
  <c r="BO66" i="2"/>
  <c r="BL53" i="2"/>
  <c r="BM53" i="2"/>
  <c r="BN20" i="2"/>
  <c r="BI8" i="2"/>
  <c r="AQ42" i="2"/>
  <c r="AU53" i="2"/>
  <c r="AT53" i="2"/>
  <c r="AT42" i="2"/>
  <c r="BN21" i="2"/>
  <c r="BM19" i="2"/>
  <c r="BN8" i="2"/>
  <c r="BN19" i="2"/>
  <c r="AQ53" i="2"/>
  <c r="BM21" i="2"/>
  <c r="AO55" i="2"/>
  <c r="AO72" i="2" s="1"/>
  <c r="BF8" i="2"/>
  <c r="BO4" i="2"/>
  <c r="BO3" i="2"/>
  <c r="BN9" i="2"/>
  <c r="BN12" i="2"/>
  <c r="BO5" i="2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BM9" i="2"/>
  <c r="BM6" i="2"/>
  <c r="BM8" i="2" s="1"/>
  <c r="AQ13" i="2"/>
  <c r="AQ15" i="2" s="1"/>
  <c r="AR23" i="2"/>
  <c r="AT25" i="2"/>
  <c r="AN24" i="2"/>
  <c r="AP22" i="2"/>
  <c r="AO24" i="2"/>
  <c r="AO27" i="2"/>
  <c r="AN26" i="2"/>
  <c r="AN23" i="2"/>
  <c r="AO22" i="2"/>
  <c r="AO23" i="2"/>
  <c r="AP26" i="2"/>
  <c r="AS23" i="2"/>
  <c r="AX6" i="2"/>
  <c r="AI13" i="2"/>
  <c r="AI15" i="2" s="1"/>
  <c r="AM22" i="2"/>
  <c r="AU23" i="2"/>
  <c r="AQ24" i="2"/>
  <c r="AR13" i="2"/>
  <c r="AW6" i="2"/>
  <c r="AW8" i="2" s="1"/>
  <c r="AS13" i="2"/>
  <c r="AR22" i="2"/>
  <c r="AS24" i="2"/>
  <c r="AQ22" i="2"/>
  <c r="AN28" i="2"/>
  <c r="AR24" i="2"/>
  <c r="AQ23" i="2"/>
  <c r="AM24" i="2"/>
  <c r="AU24" i="2"/>
  <c r="AM26" i="2"/>
  <c r="AO28" i="2"/>
  <c r="AN22" i="2"/>
  <c r="AM28" i="2"/>
  <c r="AM23" i="2"/>
  <c r="BL6" i="2"/>
  <c r="BE8" i="2"/>
  <c r="BD8" i="2"/>
  <c r="BG8" i="2"/>
  <c r="BH8" i="2"/>
  <c r="BK8" i="2"/>
  <c r="BJ8" i="2"/>
  <c r="AY28" i="2" l="1"/>
  <c r="AN55" i="2"/>
  <c r="AJ55" i="2"/>
  <c r="AN27" i="2"/>
  <c r="AX25" i="2"/>
  <c r="AW22" i="2"/>
  <c r="AW26" i="2"/>
  <c r="AU27" i="2"/>
  <c r="AU28" i="2"/>
  <c r="AU55" i="2"/>
  <c r="AU72" i="2" s="1"/>
  <c r="AM55" i="2"/>
  <c r="AM27" i="2"/>
  <c r="AK55" i="2"/>
  <c r="AL55" i="2"/>
  <c r="BO21" i="2"/>
  <c r="BO19" i="2"/>
  <c r="AI17" i="2"/>
  <c r="AI55" i="2"/>
  <c r="AQ17" i="2"/>
  <c r="AQ55" i="2"/>
  <c r="AQ72" i="2" s="1"/>
  <c r="BO20" i="2"/>
  <c r="AQ27" i="2"/>
  <c r="AV22" i="2"/>
  <c r="BO6" i="2"/>
  <c r="AQ28" i="2"/>
  <c r="AX26" i="2"/>
  <c r="AR15" i="2"/>
  <c r="AR27" i="2"/>
  <c r="AT13" i="2"/>
  <c r="AT24" i="2"/>
  <c r="AP13" i="2"/>
  <c r="AP24" i="2"/>
  <c r="AS15" i="2"/>
  <c r="AS27" i="2"/>
  <c r="AX22" i="2"/>
  <c r="BL10" i="2"/>
  <c r="BL12" i="2"/>
  <c r="BL7" i="2"/>
  <c r="BL8" i="2" s="1"/>
  <c r="BL14" i="2"/>
  <c r="AW23" i="2" l="1"/>
  <c r="AW11" i="2"/>
  <c r="AW13" i="2" s="1"/>
  <c r="BQ3" i="2"/>
  <c r="BP6" i="2"/>
  <c r="BP19" i="2"/>
  <c r="AR17" i="2"/>
  <c r="AR55" i="2"/>
  <c r="BP20" i="2"/>
  <c r="BQ4" i="2"/>
  <c r="AS17" i="2"/>
  <c r="AS55" i="2"/>
  <c r="AS72" i="2" s="1"/>
  <c r="BP21" i="2"/>
  <c r="BO9" i="2"/>
  <c r="AV26" i="2"/>
  <c r="AV25" i="2"/>
  <c r="AW25" i="2"/>
  <c r="AV23" i="2"/>
  <c r="AP15" i="2"/>
  <c r="AP27" i="2"/>
  <c r="AR28" i="2"/>
  <c r="AT15" i="2"/>
  <c r="AT27" i="2"/>
  <c r="AS28" i="2"/>
  <c r="BL11" i="2"/>
  <c r="BM11" i="2"/>
  <c r="BM13" i="2" s="1"/>
  <c r="BQ6" i="2" l="1"/>
  <c r="BQ7" i="2" s="1"/>
  <c r="BR3" i="2"/>
  <c r="BQ19" i="2"/>
  <c r="AT17" i="2"/>
  <c r="AT55" i="2"/>
  <c r="AT72" i="2" s="1"/>
  <c r="BR4" i="2"/>
  <c r="BQ20" i="2"/>
  <c r="AP17" i="2"/>
  <c r="AP55" i="2"/>
  <c r="BQ21" i="2"/>
  <c r="BL13" i="2"/>
  <c r="BL15" i="2" s="1"/>
  <c r="BL55" i="2" s="1"/>
  <c r="BL72" i="2" s="1"/>
  <c r="BL74" i="2" s="1"/>
  <c r="BP8" i="2"/>
  <c r="AW24" i="2"/>
  <c r="AV13" i="2"/>
  <c r="AV24" i="2"/>
  <c r="AW15" i="2"/>
  <c r="AW27" i="2"/>
  <c r="AT28" i="2"/>
  <c r="AP28" i="2"/>
  <c r="BM15" i="2"/>
  <c r="BM55" i="2" s="1"/>
  <c r="BM72" i="2" s="1"/>
  <c r="BN11" i="2"/>
  <c r="BN13" i="2" s="1"/>
  <c r="AW17" i="2" l="1"/>
  <c r="AW55" i="2"/>
  <c r="AW72" i="2" s="1"/>
  <c r="BS4" i="2"/>
  <c r="BR20" i="2"/>
  <c r="BR6" i="2"/>
  <c r="BR7" i="2" s="1"/>
  <c r="BS3" i="2"/>
  <c r="BR19" i="2"/>
  <c r="BR21" i="2"/>
  <c r="BQ8" i="2"/>
  <c r="BQ9" i="2"/>
  <c r="AV15" i="2"/>
  <c r="AV27" i="2"/>
  <c r="AW28" i="2"/>
  <c r="BN15" i="2"/>
  <c r="BN55" i="2" s="1"/>
  <c r="BN72" i="2" s="1"/>
  <c r="AV17" i="2" l="1"/>
  <c r="AV55" i="2"/>
  <c r="AV72" i="2" s="1"/>
  <c r="BS19" i="2"/>
  <c r="BS6" i="2"/>
  <c r="BS7" i="2" s="1"/>
  <c r="BT3" i="2"/>
  <c r="BS21" i="2"/>
  <c r="BT4" i="2"/>
  <c r="BS20" i="2"/>
  <c r="BR9" i="2"/>
  <c r="BR8" i="2"/>
  <c r="AV28" i="2"/>
  <c r="BP11" i="2"/>
  <c r="BP13" i="2" s="1"/>
  <c r="BP15" i="2" s="1"/>
  <c r="AV36" i="2" l="1"/>
  <c r="AV42" i="2" s="1"/>
  <c r="AV30" i="2"/>
  <c r="BT20" i="2"/>
  <c r="BU4" i="2"/>
  <c r="BV4" i="2" s="1"/>
  <c r="BW4" i="2" s="1"/>
  <c r="BX4" i="2" s="1"/>
  <c r="BY4" i="2" s="1"/>
  <c r="BZ4" i="2" s="1"/>
  <c r="BT21" i="2"/>
  <c r="BT19" i="2"/>
  <c r="BT6" i="2"/>
  <c r="BT7" i="2" s="1"/>
  <c r="BU3" i="2"/>
  <c r="BS9" i="2"/>
  <c r="BS8" i="2"/>
  <c r="BQ11" i="2"/>
  <c r="BQ13" i="2" s="1"/>
  <c r="AW30" i="2" l="1"/>
  <c r="AW36" i="2"/>
  <c r="AW42" i="2" s="1"/>
  <c r="AW53" i="2" s="1"/>
  <c r="BU6" i="2"/>
  <c r="BU7" i="2" s="1"/>
  <c r="BU19" i="2"/>
  <c r="BV3" i="2"/>
  <c r="BU21" i="2"/>
  <c r="BU20" i="2"/>
  <c r="BQ14" i="2"/>
  <c r="BQ15" i="2" s="1"/>
  <c r="BT8" i="2"/>
  <c r="BT9" i="2"/>
  <c r="BV20" i="2" l="1"/>
  <c r="BV21" i="2"/>
  <c r="BV6" i="2"/>
  <c r="BV7" i="2" s="1"/>
  <c r="BW3" i="2"/>
  <c r="BV19" i="2"/>
  <c r="BU9" i="2"/>
  <c r="BU8" i="2"/>
  <c r="BS11" i="2"/>
  <c r="BS13" i="2" s="1"/>
  <c r="BR11" i="2"/>
  <c r="BR13" i="2" s="1"/>
  <c r="BW6" i="2" l="1"/>
  <c r="BW7" i="2" s="1"/>
  <c r="BX3" i="2"/>
  <c r="BW19" i="2"/>
  <c r="BW21" i="2"/>
  <c r="BW20" i="2"/>
  <c r="BS14" i="2"/>
  <c r="BS15" i="2" s="1"/>
  <c r="BV8" i="2"/>
  <c r="BV22" i="2"/>
  <c r="BV9" i="2"/>
  <c r="BR14" i="2"/>
  <c r="BR15" i="2" s="1"/>
  <c r="BU11" i="2"/>
  <c r="BU13" i="2" s="1"/>
  <c r="BU14" i="2" s="1"/>
  <c r="BU15" i="2" s="1"/>
  <c r="BT11" i="2"/>
  <c r="BT13" i="2" s="1"/>
  <c r="BT14" i="2" s="1"/>
  <c r="BT15" i="2" s="1"/>
  <c r="BX20" i="2" l="1"/>
  <c r="BX21" i="2"/>
  <c r="BX6" i="2"/>
  <c r="BX7" i="2" s="1"/>
  <c r="BY3" i="2"/>
  <c r="BX19" i="2"/>
  <c r="BV23" i="2"/>
  <c r="BV11" i="2"/>
  <c r="BW22" i="2"/>
  <c r="BW8" i="2"/>
  <c r="BW9" i="2"/>
  <c r="BV26" i="2"/>
  <c r="BV25" i="2"/>
  <c r="AL25" i="2"/>
  <c r="AK25" i="2"/>
  <c r="AJ25" i="2"/>
  <c r="AK22" i="2"/>
  <c r="AJ22" i="2"/>
  <c r="AI26" i="2"/>
  <c r="AI25" i="2"/>
  <c r="AI22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H8" i="2"/>
  <c r="AH11" i="2" s="1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Y6" i="2" l="1"/>
  <c r="BY7" i="2" s="1"/>
  <c r="BZ3" i="2"/>
  <c r="BY19" i="2"/>
  <c r="BZ21" i="2"/>
  <c r="BY21" i="2"/>
  <c r="BZ20" i="2"/>
  <c r="BY20" i="2"/>
  <c r="BW26" i="2"/>
  <c r="BW25" i="2"/>
  <c r="BX22" i="2"/>
  <c r="BX8" i="2"/>
  <c r="BX9" i="2"/>
  <c r="BW23" i="2"/>
  <c r="BW11" i="2"/>
  <c r="BV13" i="2"/>
  <c r="BV24" i="2"/>
  <c r="AI23" i="2"/>
  <c r="AL22" i="2"/>
  <c r="AK26" i="2"/>
  <c r="AL26" i="2"/>
  <c r="AJ26" i="2"/>
  <c r="AI24" i="2"/>
  <c r="AH26" i="2"/>
  <c r="BZ19" i="2" l="1"/>
  <c r="BZ6" i="2"/>
  <c r="BZ7" i="2" s="1"/>
  <c r="BW13" i="2"/>
  <c r="BW24" i="2"/>
  <c r="BY22" i="2"/>
  <c r="BY8" i="2"/>
  <c r="BY9" i="2"/>
  <c r="BX25" i="2"/>
  <c r="BX26" i="2"/>
  <c r="BX11" i="2"/>
  <c r="BX23" i="2"/>
  <c r="BV14" i="2"/>
  <c r="BV27" i="2" s="1"/>
  <c r="AK23" i="2"/>
  <c r="AJ23" i="2"/>
  <c r="AL23" i="2"/>
  <c r="AI27" i="2"/>
  <c r="AG8" i="2"/>
  <c r="AG11" i="2" s="1"/>
  <c r="BV15" i="2" l="1"/>
  <c r="BY25" i="2"/>
  <c r="BY26" i="2"/>
  <c r="BZ22" i="2"/>
  <c r="BZ9" i="2"/>
  <c r="BZ8" i="2"/>
  <c r="BY11" i="2"/>
  <c r="BY23" i="2"/>
  <c r="BX13" i="2"/>
  <c r="BX24" i="2"/>
  <c r="BW14" i="2"/>
  <c r="BW27" i="2" s="1"/>
  <c r="AL24" i="2"/>
  <c r="AJ24" i="2"/>
  <c r="AK24" i="2"/>
  <c r="AI28" i="2"/>
  <c r="CC35" i="2"/>
  <c r="AH23" i="2"/>
  <c r="AG23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E12" i="2"/>
  <c r="F10" i="2"/>
  <c r="BD10" i="2" s="1"/>
  <c r="BD11" i="2" s="1"/>
  <c r="E8" i="2"/>
  <c r="E11" i="2" s="1"/>
  <c r="F8" i="2"/>
  <c r="C12" i="2"/>
  <c r="C8" i="2"/>
  <c r="G12" i="2"/>
  <c r="G8" i="2"/>
  <c r="D12" i="2"/>
  <c r="BV17" i="2" l="1"/>
  <c r="C11" i="2"/>
  <c r="C24" i="2" s="1"/>
  <c r="G11" i="2"/>
  <c r="G24" i="2" s="1"/>
  <c r="F23" i="2"/>
  <c r="F11" i="2"/>
  <c r="BD12" i="2"/>
  <c r="BD13" i="2" s="1"/>
  <c r="BD15" i="2" s="1"/>
  <c r="BW15" i="2"/>
  <c r="BW28" i="2" s="1"/>
  <c r="BV28" i="2"/>
  <c r="BY13" i="2"/>
  <c r="BY24" i="2"/>
  <c r="BZ11" i="2"/>
  <c r="BZ23" i="2"/>
  <c r="BZ25" i="2"/>
  <c r="BZ26" i="2"/>
  <c r="BX14" i="2"/>
  <c r="BX27" i="2" s="1"/>
  <c r="AK27" i="2"/>
  <c r="AL27" i="2"/>
  <c r="BI25" i="2"/>
  <c r="BG26" i="2"/>
  <c r="BG25" i="2"/>
  <c r="BF26" i="2"/>
  <c r="BF25" i="2"/>
  <c r="BH25" i="2"/>
  <c r="BJ25" i="2"/>
  <c r="BE26" i="2"/>
  <c r="BE25" i="2"/>
  <c r="BH26" i="2"/>
  <c r="BJ26" i="2"/>
  <c r="BI26" i="2"/>
  <c r="BF22" i="2"/>
  <c r="BH22" i="2"/>
  <c r="BE22" i="2"/>
  <c r="C23" i="2"/>
  <c r="BK25" i="2"/>
  <c r="BG22" i="2"/>
  <c r="BI22" i="2"/>
  <c r="BJ22" i="2"/>
  <c r="E13" i="2"/>
  <c r="E15" i="2" s="1"/>
  <c r="BD23" i="2"/>
  <c r="G23" i="2"/>
  <c r="E24" i="2"/>
  <c r="E23" i="2"/>
  <c r="BH23" i="2"/>
  <c r="AH24" i="2"/>
  <c r="BK22" i="2"/>
  <c r="G13" i="2"/>
  <c r="D8" i="2"/>
  <c r="D11" i="2" s="1"/>
  <c r="H12" i="2"/>
  <c r="H8" i="2"/>
  <c r="H11" i="2" s="1"/>
  <c r="I12" i="2"/>
  <c r="I8" i="2"/>
  <c r="I11" i="2" s="1"/>
  <c r="M8" i="2"/>
  <c r="M11" i="2" s="1"/>
  <c r="J10" i="2"/>
  <c r="BE10" i="2" s="1"/>
  <c r="BE11" i="2" s="1"/>
  <c r="J8" i="2"/>
  <c r="N10" i="2"/>
  <c r="BF10" i="2" s="1"/>
  <c r="BF11" i="2" s="1"/>
  <c r="N8" i="2"/>
  <c r="L12" i="2"/>
  <c r="L8" i="2"/>
  <c r="L11" i="2" s="1"/>
  <c r="P12" i="2"/>
  <c r="P8" i="2"/>
  <c r="P11" i="2" s="1"/>
  <c r="O8" i="2"/>
  <c r="O11" i="2" s="1"/>
  <c r="O12" i="2"/>
  <c r="K12" i="2"/>
  <c r="K8" i="2"/>
  <c r="K11" i="2" s="1"/>
  <c r="Q8" i="2"/>
  <c r="Q11" i="2" s="1"/>
  <c r="U12" i="2"/>
  <c r="U8" i="2"/>
  <c r="U11" i="2" s="1"/>
  <c r="R10" i="2"/>
  <c r="BG10" i="2" s="1"/>
  <c r="BG11" i="2" s="1"/>
  <c r="R8" i="2"/>
  <c r="R11" i="2" s="1"/>
  <c r="V10" i="2"/>
  <c r="BH10" i="2" s="1"/>
  <c r="BH11" i="2" s="1"/>
  <c r="V8" i="2"/>
  <c r="S12" i="2"/>
  <c r="S8" i="2"/>
  <c r="S11" i="2" s="1"/>
  <c r="W12" i="2"/>
  <c r="W8" i="2"/>
  <c r="W11" i="2" s="1"/>
  <c r="T8" i="2"/>
  <c r="T11" i="2" s="1"/>
  <c r="X12" i="2"/>
  <c r="X8" i="2"/>
  <c r="X11" i="2" s="1"/>
  <c r="Y10" i="2"/>
  <c r="Y8" i="2"/>
  <c r="AC12" i="2"/>
  <c r="AC10" i="2"/>
  <c r="AC8" i="2"/>
  <c r="Z10" i="2"/>
  <c r="Z8" i="2"/>
  <c r="Z11" i="2" s="1"/>
  <c r="AD10" i="2"/>
  <c r="AD8" i="2"/>
  <c r="AA12" i="2"/>
  <c r="AA10" i="2"/>
  <c r="AA8" i="2"/>
  <c r="AE12" i="2"/>
  <c r="AE10" i="2"/>
  <c r="AE8" i="2"/>
  <c r="AB12" i="2"/>
  <c r="AB10" i="2"/>
  <c r="AB8" i="2"/>
  <c r="AF12" i="2"/>
  <c r="AF10" i="2"/>
  <c r="AF8" i="2"/>
  <c r="D8" i="1"/>
  <c r="CC32" i="2" s="1"/>
  <c r="D5" i="1"/>
  <c r="F3" i="1"/>
  <c r="C13" i="2" l="1"/>
  <c r="C15" i="2" s="1"/>
  <c r="J11" i="2"/>
  <c r="AE23" i="2"/>
  <c r="AE11" i="2"/>
  <c r="AC23" i="2"/>
  <c r="AC11" i="2"/>
  <c r="AF23" i="2"/>
  <c r="AF11" i="2"/>
  <c r="AA23" i="2"/>
  <c r="AA11" i="2"/>
  <c r="AB11" i="2"/>
  <c r="Y23" i="2"/>
  <c r="Y11" i="2"/>
  <c r="N11" i="2"/>
  <c r="AD11" i="2"/>
  <c r="V11" i="2"/>
  <c r="BW17" i="2"/>
  <c r="BX15" i="2"/>
  <c r="BZ13" i="2"/>
  <c r="BZ24" i="2"/>
  <c r="BY14" i="2"/>
  <c r="BY27" i="2" s="1"/>
  <c r="BG12" i="2"/>
  <c r="BG13" i="2" s="1"/>
  <c r="BG15" i="2" s="1"/>
  <c r="BE12" i="2"/>
  <c r="BE13" i="2" s="1"/>
  <c r="BE15" i="2" s="1"/>
  <c r="BI12" i="2"/>
  <c r="BI10" i="2"/>
  <c r="BI11" i="2" s="1"/>
  <c r="BJ12" i="2"/>
  <c r="BF12" i="2"/>
  <c r="BF13" i="2" s="1"/>
  <c r="BF15" i="2" s="1"/>
  <c r="BJ10" i="2"/>
  <c r="BJ11" i="2" s="1"/>
  <c r="BH12" i="2"/>
  <c r="BH13" i="2" s="1"/>
  <c r="BH15" i="2" s="1"/>
  <c r="BK10" i="2"/>
  <c r="BK11" i="2" s="1"/>
  <c r="BK12" i="2"/>
  <c r="E17" i="2"/>
  <c r="E28" i="2"/>
  <c r="AJ27" i="2"/>
  <c r="AJ28" i="2"/>
  <c r="BK26" i="2"/>
  <c r="BL25" i="2"/>
  <c r="D9" i="1"/>
  <c r="E27" i="2"/>
  <c r="BH24" i="2"/>
  <c r="Z23" i="2"/>
  <c r="R23" i="2"/>
  <c r="W24" i="2"/>
  <c r="W23" i="2"/>
  <c r="U23" i="2"/>
  <c r="I24" i="2"/>
  <c r="I23" i="2"/>
  <c r="L23" i="2"/>
  <c r="S24" i="2"/>
  <c r="S23" i="2"/>
  <c r="Q23" i="2"/>
  <c r="H23" i="2"/>
  <c r="BF23" i="2"/>
  <c r="BE23" i="2"/>
  <c r="AB23" i="2"/>
  <c r="K23" i="2"/>
  <c r="N23" i="2"/>
  <c r="BG23" i="2"/>
  <c r="AD23" i="2"/>
  <c r="V23" i="2"/>
  <c r="D23" i="2"/>
  <c r="X23" i="2"/>
  <c r="J23" i="2"/>
  <c r="G15" i="2"/>
  <c r="G27" i="2"/>
  <c r="BI23" i="2"/>
  <c r="BK23" i="2"/>
  <c r="O23" i="2"/>
  <c r="BJ23" i="2"/>
  <c r="T23" i="2"/>
  <c r="P24" i="2"/>
  <c r="P23" i="2"/>
  <c r="M24" i="2"/>
  <c r="M23" i="2"/>
  <c r="F13" i="2"/>
  <c r="F24" i="2"/>
  <c r="BL22" i="2"/>
  <c r="AG24" i="2"/>
  <c r="AG13" i="2"/>
  <c r="AH13" i="2"/>
  <c r="C27" i="2" l="1"/>
  <c r="BY15" i="2"/>
  <c r="BZ14" i="2"/>
  <c r="BZ27" i="2" s="1"/>
  <c r="BX28" i="2"/>
  <c r="BX17" i="2"/>
  <c r="BI13" i="2"/>
  <c r="BI15" i="2" s="1"/>
  <c r="BJ13" i="2"/>
  <c r="BJ15" i="2" s="1"/>
  <c r="BK13" i="2"/>
  <c r="BK15" i="2" s="1"/>
  <c r="C17" i="2"/>
  <c r="C28" i="2"/>
  <c r="AK28" i="2"/>
  <c r="G17" i="2"/>
  <c r="G28" i="2"/>
  <c r="AL28" i="2"/>
  <c r="I13" i="2"/>
  <c r="I15" i="2" s="1"/>
  <c r="BD24" i="2"/>
  <c r="BL26" i="2"/>
  <c r="BM25" i="2"/>
  <c r="BL27" i="2"/>
  <c r="BL23" i="2"/>
  <c r="AH15" i="2"/>
  <c r="BM22" i="2"/>
  <c r="W13" i="2"/>
  <c r="W27" i="2" s="1"/>
  <c r="BH27" i="2"/>
  <c r="BK24" i="2"/>
  <c r="P13" i="2"/>
  <c r="P27" i="2" s="1"/>
  <c r="BJ24" i="2"/>
  <c r="AE13" i="2"/>
  <c r="AE24" i="2"/>
  <c r="J13" i="2"/>
  <c r="J24" i="2"/>
  <c r="BF24" i="2"/>
  <c r="AA13" i="2"/>
  <c r="AA24" i="2"/>
  <c r="O13" i="2"/>
  <c r="O24" i="2"/>
  <c r="V13" i="2"/>
  <c r="V24" i="2"/>
  <c r="K13" i="2"/>
  <c r="K24" i="2"/>
  <c r="L13" i="2"/>
  <c r="L24" i="2"/>
  <c r="N13" i="2"/>
  <c r="N24" i="2"/>
  <c r="AC13" i="2"/>
  <c r="AC24" i="2"/>
  <c r="T13" i="2"/>
  <c r="T24" i="2"/>
  <c r="H13" i="2"/>
  <c r="H24" i="2"/>
  <c r="BE24" i="2"/>
  <c r="Y13" i="2"/>
  <c r="Y24" i="2"/>
  <c r="AD13" i="2"/>
  <c r="AD24" i="2"/>
  <c r="AF24" i="2"/>
  <c r="AF13" i="2"/>
  <c r="M13" i="2"/>
  <c r="X13" i="2"/>
  <c r="X24" i="2"/>
  <c r="BD27" i="2"/>
  <c r="F15" i="2"/>
  <c r="F27" i="2"/>
  <c r="BI24" i="2"/>
  <c r="AB13" i="2"/>
  <c r="AB24" i="2"/>
  <c r="Q13" i="2"/>
  <c r="Q24" i="2"/>
  <c r="S13" i="2"/>
  <c r="BG24" i="2"/>
  <c r="R13" i="2"/>
  <c r="R24" i="2"/>
  <c r="D13" i="2"/>
  <c r="D24" i="2"/>
  <c r="U13" i="2"/>
  <c r="U24" i="2"/>
  <c r="Z13" i="2"/>
  <c r="Z24" i="2"/>
  <c r="BN22" i="2"/>
  <c r="BZ15" i="2" l="1"/>
  <c r="BZ17" i="2" s="1"/>
  <c r="BY17" i="2"/>
  <c r="BY28" i="2"/>
  <c r="BD17" i="2"/>
  <c r="BD28" i="2"/>
  <c r="I17" i="2"/>
  <c r="I28" i="2"/>
  <c r="F17" i="2"/>
  <c r="F28" i="2"/>
  <c r="AH17" i="2"/>
  <c r="AH28" i="2"/>
  <c r="I27" i="2"/>
  <c r="BL24" i="2"/>
  <c r="BM26" i="2"/>
  <c r="BN25" i="2"/>
  <c r="AH27" i="2"/>
  <c r="W15" i="2"/>
  <c r="BM23" i="2"/>
  <c r="P15" i="2"/>
  <c r="BN23" i="2"/>
  <c r="BG27" i="2"/>
  <c r="V15" i="2"/>
  <c r="V27" i="2"/>
  <c r="J15" i="2"/>
  <c r="J27" i="2"/>
  <c r="BJ27" i="2"/>
  <c r="X15" i="2"/>
  <c r="X27" i="2"/>
  <c r="U15" i="2"/>
  <c r="U27" i="2"/>
  <c r="BI27" i="2"/>
  <c r="D15" i="2"/>
  <c r="D27" i="2"/>
  <c r="N15" i="2"/>
  <c r="N27" i="2"/>
  <c r="AF27" i="2"/>
  <c r="AF15" i="2"/>
  <c r="Y15" i="2"/>
  <c r="Y27" i="2"/>
  <c r="S15" i="2"/>
  <c r="S27" i="2"/>
  <c r="Q15" i="2"/>
  <c r="Q27" i="2"/>
  <c r="H15" i="2"/>
  <c r="H27" i="2"/>
  <c r="L15" i="2"/>
  <c r="L27" i="2"/>
  <c r="AA15" i="2"/>
  <c r="AA27" i="2"/>
  <c r="AE15" i="2"/>
  <c r="AE27" i="2"/>
  <c r="AC15" i="2"/>
  <c r="AC27" i="2"/>
  <c r="BE27" i="2"/>
  <c r="O15" i="2"/>
  <c r="O27" i="2"/>
  <c r="Z15" i="2"/>
  <c r="Z27" i="2"/>
  <c r="R15" i="2"/>
  <c r="R27" i="2"/>
  <c r="AB15" i="2"/>
  <c r="AB27" i="2"/>
  <c r="AD15" i="2"/>
  <c r="AD27" i="2"/>
  <c r="T15" i="2"/>
  <c r="T27" i="2"/>
  <c r="K15" i="2"/>
  <c r="K27" i="2"/>
  <c r="BF27" i="2"/>
  <c r="M15" i="2"/>
  <c r="M27" i="2"/>
  <c r="BO22" i="2"/>
  <c r="AG15" i="2"/>
  <c r="AG27" i="2"/>
  <c r="BZ28" i="2" l="1"/>
  <c r="AD17" i="2"/>
  <c r="AD28" i="2"/>
  <c r="O17" i="2"/>
  <c r="O28" i="2"/>
  <c r="S17" i="2"/>
  <c r="S28" i="2"/>
  <c r="D17" i="2"/>
  <c r="D28" i="2"/>
  <c r="BJ17" i="2"/>
  <c r="BJ28" i="2"/>
  <c r="P17" i="2"/>
  <c r="P28" i="2"/>
  <c r="M17" i="2"/>
  <c r="M28" i="2"/>
  <c r="AA17" i="2"/>
  <c r="AA28" i="2"/>
  <c r="AB17" i="2"/>
  <c r="AB28" i="2"/>
  <c r="BH17" i="2"/>
  <c r="BH28" i="2"/>
  <c r="W17" i="2"/>
  <c r="W28" i="2"/>
  <c r="AG17" i="2"/>
  <c r="AG28" i="2"/>
  <c r="R17" i="2"/>
  <c r="R28" i="2"/>
  <c r="AC17" i="2"/>
  <c r="AC28" i="2"/>
  <c r="H17" i="2"/>
  <c r="H28" i="2"/>
  <c r="U17" i="2"/>
  <c r="U28" i="2"/>
  <c r="V17" i="2"/>
  <c r="V28" i="2"/>
  <c r="BE17" i="2"/>
  <c r="BE28" i="2"/>
  <c r="Y17" i="2"/>
  <c r="Y28" i="2"/>
  <c r="J17" i="2"/>
  <c r="J28" i="2"/>
  <c r="AF17" i="2"/>
  <c r="AF28" i="2"/>
  <c r="K17" i="2"/>
  <c r="K28" i="2"/>
  <c r="BF17" i="2"/>
  <c r="BF28" i="2"/>
  <c r="L17" i="2"/>
  <c r="L28" i="2"/>
  <c r="BI17" i="2"/>
  <c r="BI28" i="2"/>
  <c r="T17" i="2"/>
  <c r="T28" i="2"/>
  <c r="Z17" i="2"/>
  <c r="Z28" i="2"/>
  <c r="AE17" i="2"/>
  <c r="AE28" i="2"/>
  <c r="Q17" i="2"/>
  <c r="Q28" i="2"/>
  <c r="N17" i="2"/>
  <c r="N28" i="2"/>
  <c r="X17" i="2"/>
  <c r="X28" i="2"/>
  <c r="BG17" i="2"/>
  <c r="BG28" i="2"/>
  <c r="BP23" i="2"/>
  <c r="BL17" i="2"/>
  <c r="BL28" i="2"/>
  <c r="BO25" i="2"/>
  <c r="BN26" i="2"/>
  <c r="BN24" i="2"/>
  <c r="BP22" i="2"/>
  <c r="BK27" i="2"/>
  <c r="BM27" i="2"/>
  <c r="BM24" i="2"/>
  <c r="BK17" i="2" l="1"/>
  <c r="BK28" i="2"/>
  <c r="BQ22" i="2"/>
  <c r="BO26" i="2"/>
  <c r="BQ23" i="2" l="1"/>
  <c r="BR23" i="2"/>
  <c r="BR22" i="2"/>
  <c r="BM17" i="2"/>
  <c r="BM28" i="2"/>
  <c r="BP24" i="2"/>
  <c r="BP25" i="2"/>
  <c r="BQ25" i="2"/>
  <c r="BP26" i="2"/>
  <c r="BN27" i="2"/>
  <c r="BS23" i="2" l="1"/>
  <c r="BS22" i="2"/>
  <c r="BN17" i="2"/>
  <c r="BN28" i="2"/>
  <c r="BP27" i="2"/>
  <c r="BR25" i="2"/>
  <c r="BQ26" i="2"/>
  <c r="BT23" i="2" l="1"/>
  <c r="BT22" i="2"/>
  <c r="BQ24" i="2"/>
  <c r="BQ27" i="2"/>
  <c r="BS25" i="2"/>
  <c r="BR26" i="2"/>
  <c r="BU23" i="2" l="1"/>
  <c r="BU22" i="2"/>
  <c r="BP17" i="2"/>
  <c r="BP28" i="2"/>
  <c r="BR24" i="2"/>
  <c r="BS26" i="2"/>
  <c r="BT25" i="2"/>
  <c r="BQ17" i="2" l="1"/>
  <c r="BQ28" i="2"/>
  <c r="BS24" i="2"/>
  <c r="BU25" i="2"/>
  <c r="BT26" i="2"/>
  <c r="BR27" i="2"/>
  <c r="BT24" i="2" l="1"/>
  <c r="BU26" i="2"/>
  <c r="BS27" i="2"/>
  <c r="BR17" i="2" l="1"/>
  <c r="BR28" i="2"/>
  <c r="BU24" i="2"/>
  <c r="BT27" i="2"/>
  <c r="BS17" i="2" l="1"/>
  <c r="BS28" i="2"/>
  <c r="BU27" i="2"/>
  <c r="BT17" i="2" l="1"/>
  <c r="BT28" i="2"/>
  <c r="BU28" i="2" l="1"/>
  <c r="BU17" i="2"/>
  <c r="CA15" i="2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E15" i="2" s="1"/>
  <c r="FF15" i="2" s="1"/>
  <c r="FG15" i="2" s="1"/>
  <c r="FH15" i="2" s="1"/>
  <c r="FI15" i="2" s="1"/>
  <c r="FJ15" i="2" s="1"/>
  <c r="FK15" i="2" s="1"/>
  <c r="FL15" i="2" s="1"/>
  <c r="FM15" i="2" s="1"/>
  <c r="FN15" i="2" s="1"/>
  <c r="FO15" i="2" s="1"/>
  <c r="FP15" i="2" s="1"/>
  <c r="FQ15" i="2" s="1"/>
  <c r="FR15" i="2" s="1"/>
  <c r="FS15" i="2" s="1"/>
  <c r="FT15" i="2" s="1"/>
  <c r="FU15" i="2" s="1"/>
  <c r="FV15" i="2" s="1"/>
  <c r="FW15" i="2" s="1"/>
  <c r="FX15" i="2" s="1"/>
  <c r="FY15" i="2" s="1"/>
  <c r="FZ15" i="2" s="1"/>
  <c r="CC31" i="2" s="1"/>
  <c r="AV53" i="2" l="1"/>
  <c r="BO7" i="2"/>
  <c r="BO8" i="2"/>
  <c r="BO11" i="2" s="1"/>
  <c r="BO23" i="2"/>
  <c r="AX8" i="2"/>
  <c r="AX11" i="2" s="1"/>
  <c r="AX23" i="2"/>
  <c r="AX24" i="2" l="1"/>
  <c r="AX13" i="2"/>
  <c r="BO13" i="2"/>
  <c r="BO24" i="2"/>
  <c r="AX15" i="2" l="1"/>
  <c r="AX28" i="2" l="1"/>
  <c r="AX17" i="2"/>
  <c r="AX55" i="2"/>
  <c r="AX72" i="2" s="1"/>
  <c r="AX27" i="2"/>
  <c r="BO14" i="2"/>
  <c r="BO27" i="2" l="1"/>
  <c r="BO15" i="2"/>
  <c r="CC33" i="2" l="1"/>
  <c r="CC34" i="2" s="1"/>
  <c r="CC36" i="2" s="1"/>
  <c r="BO55" i="2"/>
  <c r="BO72" i="2" s="1"/>
  <c r="BO17" i="2"/>
  <c r="BO28" i="2"/>
  <c r="AX30" i="2"/>
  <c r="BO30" i="2" s="1"/>
  <c r="BO31" i="2"/>
  <c r="AX36" i="2"/>
  <c r="AX42" i="2" l="1"/>
  <c r="BO36" i="2"/>
  <c r="BO42" i="2" l="1"/>
  <c r="BO52" i="2" l="1"/>
  <c r="AX53" i="2"/>
  <c r="BO5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tc={F23DBBCD-FC90-41B4-912A-05593D9AD727}</author>
  </authors>
  <commentList>
    <comment ref="AM16" authorId="0" shapeId="0" xr:uid="{31C43190-649D-4BAC-A2D8-CD81BFC238D7}">
      <text>
        <r>
          <rPr>
            <sz val="10"/>
            <color theme="1"/>
            <rFont val="Arial"/>
            <family val="2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12.7m</t>
        </r>
      </text>
    </comment>
  </commentList>
</comments>
</file>

<file path=xl/sharedStrings.xml><?xml version="1.0" encoding="utf-8"?>
<sst xmlns="http://schemas.openxmlformats.org/spreadsheetml/2006/main" count="148" uniqueCount="124">
  <si>
    <t>GME</t>
  </si>
  <si>
    <t>Price</t>
  </si>
  <si>
    <t>Shares</t>
  </si>
  <si>
    <t>MC</t>
  </si>
  <si>
    <t>Cash</t>
  </si>
  <si>
    <t>Debt</t>
  </si>
  <si>
    <t>Net Cash</t>
  </si>
  <si>
    <t>EV</t>
  </si>
  <si>
    <t>Time last checked</t>
  </si>
  <si>
    <t>Today</t>
  </si>
  <si>
    <t>Q220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</si>
  <si>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</si>
  <si>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</si>
  <si>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</si>
  <si>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</si>
  <si>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</si>
  <si>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</si>
  <si>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</si>
  <si>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</si>
  <si>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</si>
  <si>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</si>
  <si>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</si>
  <si>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</si>
  <si>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</si>
  <si>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</si>
  <si>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</si>
  <si>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</si>
  <si>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</si>
  <si>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</si>
  <si>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</si>
  <si>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</si>
  <si>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</si>
  <si>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</si>
  <si>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</si>
  <si>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</si>
  <si>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</si>
  <si>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</si>
  <si>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Q320</t>
  </si>
  <si>
    <t>Q420</t>
  </si>
  <si>
    <t>Q113</t>
  </si>
  <si>
    <t>Q213</t>
  </si>
  <si>
    <t>Q313</t>
  </si>
  <si>
    <t>Q413</t>
  </si>
  <si>
    <t>Cost of sales</t>
  </si>
  <si>
    <t>Gross profit</t>
  </si>
  <si>
    <t>SG&amp;A</t>
  </si>
  <si>
    <t>Impairments</t>
  </si>
  <si>
    <t>Operating profit</t>
  </si>
  <si>
    <t>Pretax profit</t>
  </si>
  <si>
    <t>Taxes</t>
  </si>
  <si>
    <t>Net profit</t>
  </si>
  <si>
    <t>EPS</t>
  </si>
  <si>
    <t>Gross Margin</t>
  </si>
  <si>
    <t>Revenue y/y</t>
  </si>
  <si>
    <t>Operating Margin</t>
  </si>
  <si>
    <t>New consoles released roughly every 7 years</t>
  </si>
  <si>
    <t>Decline in gross margin percentage in the first full year following new console releases and an increase in gross margin percentage subsequently from more sales of accessories and software</t>
  </si>
  <si>
    <t>Maturity</t>
  </si>
  <si>
    <t>Discount rate</t>
  </si>
  <si>
    <t>NPV</t>
  </si>
  <si>
    <t>Net cash</t>
  </si>
  <si>
    <t>Value</t>
  </si>
  <si>
    <t>Per share</t>
  </si>
  <si>
    <t>Current price</t>
  </si>
  <si>
    <t>Variance</t>
  </si>
  <si>
    <t>Consensus</t>
  </si>
  <si>
    <t>We have no remaining goodwill balances as of February 1, 2020.</t>
  </si>
  <si>
    <t>Earnings</t>
  </si>
  <si>
    <t>SG&amp;A Margin</t>
  </si>
  <si>
    <t>SG&amp;A y/y</t>
  </si>
  <si>
    <t>Q121</t>
  </si>
  <si>
    <t>Q221</t>
  </si>
  <si>
    <t>Q321</t>
  </si>
  <si>
    <t>Q421</t>
  </si>
  <si>
    <t>Net Margin</t>
  </si>
  <si>
    <t>Q224</t>
  </si>
  <si>
    <t>Q124</t>
  </si>
  <si>
    <t>Hardware</t>
  </si>
  <si>
    <t>Software</t>
  </si>
  <si>
    <t>Collectibles</t>
  </si>
  <si>
    <t>Q122</t>
  </si>
  <si>
    <t>Q222</t>
  </si>
  <si>
    <t>Q322</t>
  </si>
  <si>
    <t>Q422</t>
  </si>
  <si>
    <t>Q123</t>
  </si>
  <si>
    <t>Q223</t>
  </si>
  <si>
    <t>Q323</t>
  </si>
  <si>
    <t>Q423</t>
  </si>
  <si>
    <t>Q324</t>
  </si>
  <si>
    <t>Q424</t>
  </si>
  <si>
    <t>Finance income</t>
  </si>
  <si>
    <t>Current assets</t>
  </si>
  <si>
    <t>Securities</t>
  </si>
  <si>
    <t>A/R</t>
  </si>
  <si>
    <t>Inventories</t>
  </si>
  <si>
    <t>Prepaids</t>
  </si>
  <si>
    <t>PP&amp;E</t>
  </si>
  <si>
    <t>Leases</t>
  </si>
  <si>
    <t>D/T</t>
  </si>
  <si>
    <t>ONCA</t>
  </si>
  <si>
    <t>Non-current assets</t>
  </si>
  <si>
    <t>Total assets</t>
  </si>
  <si>
    <t>A/P</t>
  </si>
  <si>
    <t>A/L</t>
  </si>
  <si>
    <t>Current liabilities</t>
  </si>
  <si>
    <t>ONCL</t>
  </si>
  <si>
    <t>Non-current liabilities</t>
  </si>
  <si>
    <t>S/E</t>
  </si>
  <si>
    <t>L+S/E</t>
  </si>
  <si>
    <t>Hardware y/y</t>
  </si>
  <si>
    <t>Software y/y</t>
  </si>
  <si>
    <t>Collectibles y/y</t>
  </si>
  <si>
    <t>D&amp;A</t>
  </si>
  <si>
    <t>SBC</t>
  </si>
  <si>
    <t>Other</t>
  </si>
  <si>
    <t>CFFO</t>
  </si>
  <si>
    <t>Digital impairments</t>
  </si>
  <si>
    <t>Sale of assets</t>
  </si>
  <si>
    <t>FCF</t>
  </si>
  <si>
    <t>Q125</t>
  </si>
  <si>
    <t>Q225</t>
  </si>
  <si>
    <t>Q325</t>
  </si>
  <si>
    <t>Q425</t>
  </si>
  <si>
    <t>Fairly valued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</si>
</sst>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9" fontId="0" fillId="0" borderId="0" xfId="0" applyNumberFormat="1"/>
    <xf numFmtId="4" fontId="1" fillId="0" borderId="0" xfId="0" applyNumberFormat="1" applyFont="1"/>
    <xf numFmtId="3" fontId="1" fillId="0" borderId="0" xfId="0" applyNumberFormat="1" applyFont="1"/>
    <xf numFmtId="0" fontId="4" fillId="0" borderId="0" xfId="0" applyFont="1"/>
    <xf numFmtId="9" fontId="1" fillId="0" borderId="0" xfId="0" applyNumberFormat="1" applyFont="1"/>
    <xf numFmtId="3" fontId="0" fillId="0" borderId="0" xfId="0" applyNumberForma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7" fillId="0" borderId="0" xfId="0" applyNumberFormat="1" applyFont="1"/>
    <xf numFmtId="3" fontId="8" fillId="0" borderId="0" xfId="0" applyNumberFormat="1" applyFont="1"/>
    <xf numFmtId="0" fontId="2" fillId="0" borderId="0" xfId="0" applyFont="1"/>
    <xf numFmtId="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15240</xdr:colOff>
      <xdr:row>0</xdr:row>
      <xdr:rowOff>0</xdr:rowOff>
    </xdr:from>
    <xdr:to>
      <xdr:col>50</xdr:col>
      <xdr:colOff>15240</xdr:colOff>
      <xdr:row>87</xdr:row>
      <xdr:rowOff>45720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12C7355-8C6C-4C85-B9A8-35E0A4B9B6CF}"/>
            </a:ext>
          </a:extLst>
        </xdr:cNvPr>
        <xdr:cNvCxnSpPr/>
      </xdr:nvCxnSpPr>
      <xdr:spPr>
        <a:xfrm>
          <a:off x="37376100" y="0"/>
          <a:ext cx="0" cy="159562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30480</xdr:colOff>
      <xdr:row>0</xdr:row>
      <xdr:rowOff>0</xdr:rowOff>
    </xdr:from>
    <xdr:to>
      <xdr:col>67</xdr:col>
      <xdr:colOff>30480</xdr:colOff>
      <xdr:row>80</xdr:row>
      <xdr:rowOff>106680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B274386-CF4C-44EE-99E5-43E79423E5A0}"/>
            </a:ext>
          </a:extLst>
        </xdr:cNvPr>
        <xdr:cNvCxnSpPr/>
      </xdr:nvCxnSpPr>
      <xdr:spPr>
        <a:xfrm>
          <a:off x="48272700" y="0"/>
          <a:ext cx="0" cy="147370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9B40D-641C-4EB1-95BB-FF7112C8B9F1}">
  <dimension ref="B2:G17"/>
  <sheetViews>
    <sheetView workbookViewId="0">
      <selection activeCell="D4" sqref="D4"/>
    </sheetView>
  </sheetViews>
  <sheetFormatPr defaultRowHeight="14.4" x14ac:dyDescent="0.3"/>
  <cols>
    <col min="5" max="7" width="15.77734375" style="3" customWidth="1"/>
  </cols>
  <sheetData>
    <row r="2" spans="2:7" x14ac:dyDescent="0.3">
      <c r="E2" s="3" t="s">
        <v>8</v>
      </c>
      <c r="F2" s="3" t="s">
        <v>9</v>
      </c>
      <c r="G2" s="3" t="s">
        <v>67</v>
      </c>
    </row>
    <row r="3" spans="2:7" x14ac:dyDescent="0.3">
      <c r="B3" s="1" t="s">
        <v>0</v>
      </c>
      <c r="C3" t="s">
        <v>1</v>
      </c>
      <c r="D3" s="6">
        <v>21.94</v>
      </c>
      <c r="E3" s="4">
        <v>45751</v>
      </c>
      <c r="F3" s="4">
        <f ca="1">TODAY()</f>
        <v>45751</v>
      </c>
      <c r="G3" s="4">
        <v>45812</v>
      </c>
    </row>
    <row r="4" spans="2:7" x14ac:dyDescent="0.3">
      <c r="C4" t="s">
        <v>2</v>
      </c>
      <c r="D4" s="5">
        <f>447.1</f>
        <v>447.1</v>
      </c>
      <c r="E4" s="3" t="s">
        <v>89</v>
      </c>
    </row>
    <row r="5" spans="2:7" x14ac:dyDescent="0.3">
      <c r="C5" t="s">
        <v>3</v>
      </c>
      <c r="D5" s="5">
        <f>D3*D4</f>
        <v>9809.3740000000016</v>
      </c>
    </row>
    <row r="6" spans="2:7" x14ac:dyDescent="0.3">
      <c r="C6" t="s">
        <v>4</v>
      </c>
      <c r="D6" s="5">
        <f>4756.9+18</f>
        <v>4774.8999999999996</v>
      </c>
      <c r="E6" s="3" t="s">
        <v>89</v>
      </c>
    </row>
    <row r="7" spans="2:7" x14ac:dyDescent="0.3">
      <c r="C7" t="s">
        <v>5</v>
      </c>
      <c r="D7" s="5">
        <f>10.3+6.6</f>
        <v>16.899999999999999</v>
      </c>
      <c r="E7" s="3" t="s">
        <v>89</v>
      </c>
    </row>
    <row r="8" spans="2:7" x14ac:dyDescent="0.3">
      <c r="C8" t="s">
        <v>6</v>
      </c>
      <c r="D8" s="5">
        <f>D6-D7</f>
        <v>4758</v>
      </c>
    </row>
    <row r="9" spans="2:7" x14ac:dyDescent="0.3">
      <c r="C9" t="s">
        <v>7</v>
      </c>
      <c r="D9" s="5">
        <f>D5-D8</f>
        <v>5051.3740000000016</v>
      </c>
    </row>
    <row r="15" spans="2:7" x14ac:dyDescent="0.3">
      <c r="B15" s="11" t="s">
        <v>56</v>
      </c>
    </row>
    <row r="16" spans="2:7" x14ac:dyDescent="0.3">
      <c r="B16" t="s">
        <v>55</v>
      </c>
    </row>
    <row r="17" spans="2:2" x14ac:dyDescent="0.3">
      <c r="B17" t="s">
        <v>66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1761-7DCF-4DD4-9CE9-3ED5B410D286}">
  <dimension ref="A1:FZ74"/>
  <sheetViews>
    <sheetView tabSelected="1" workbookViewId="0">
      <pane xSplit="2" ySplit="2" topLeftCell="AY3" activePane="bottomRight" state="frozen"/>
      <selection pane="topRight" activeCell="C1" sqref="C1"/>
      <selection pane="bottomLeft" activeCell="A3" sqref="A3"/>
      <selection pane="bottomRight" activeCell="AY5" sqref="AY5"/>
    </sheetView>
  </sheetViews>
  <sheetFormatPr defaultRowHeight="14.4" x14ac:dyDescent="0.3"/>
  <cols>
    <col min="2" max="2" width="18.77734375" bestFit="1" customWidth="1"/>
    <col min="3" max="3" width="10.5546875" bestFit="1" customWidth="1"/>
    <col min="4" max="54" width="10.77734375" customWidth="1"/>
    <col min="56" max="78" width="10.5546875" bestFit="1" customWidth="1"/>
    <col min="80" max="80" width="11.88671875" bestFit="1" customWidth="1"/>
    <col min="81" max="81" width="16.21875" bestFit="1" customWidth="1"/>
  </cols>
  <sheetData>
    <row r="1" spans="2:182" x14ac:dyDescent="0.3">
      <c r="C1" s="2">
        <v>41394</v>
      </c>
      <c r="D1" s="2">
        <v>41486</v>
      </c>
      <c r="E1" s="2">
        <v>41578</v>
      </c>
      <c r="F1" s="2">
        <v>41670</v>
      </c>
      <c r="G1" s="2">
        <v>41759</v>
      </c>
      <c r="H1" s="2">
        <v>41851</v>
      </c>
      <c r="I1" s="2">
        <v>41943</v>
      </c>
      <c r="J1" s="2">
        <v>42035</v>
      </c>
      <c r="K1" s="2">
        <v>42124</v>
      </c>
      <c r="L1" s="2">
        <v>42216</v>
      </c>
      <c r="M1" s="2">
        <v>42308</v>
      </c>
      <c r="N1" s="2">
        <v>42400</v>
      </c>
      <c r="O1" s="2">
        <v>42490</v>
      </c>
      <c r="P1" s="2">
        <v>42582</v>
      </c>
      <c r="Q1" s="2">
        <v>42674</v>
      </c>
      <c r="R1" s="2">
        <v>42766</v>
      </c>
      <c r="S1" s="2">
        <v>42855</v>
      </c>
      <c r="T1" s="2">
        <v>42947</v>
      </c>
      <c r="U1" s="2">
        <v>43039</v>
      </c>
      <c r="V1" s="2">
        <v>43131</v>
      </c>
      <c r="W1" s="2">
        <v>43220</v>
      </c>
      <c r="X1" s="2">
        <v>43312</v>
      </c>
      <c r="Y1" s="2">
        <v>43404</v>
      </c>
      <c r="Z1" s="2">
        <v>43496</v>
      </c>
      <c r="AA1" s="2">
        <v>43585</v>
      </c>
      <c r="AB1" s="2">
        <v>43677</v>
      </c>
      <c r="AC1" s="2">
        <v>43769</v>
      </c>
      <c r="AD1" s="2">
        <v>43861</v>
      </c>
      <c r="AE1" s="2">
        <v>43951</v>
      </c>
      <c r="AF1" s="2">
        <v>44043</v>
      </c>
      <c r="AG1" s="2">
        <v>44135</v>
      </c>
      <c r="AH1" s="2">
        <v>44227</v>
      </c>
      <c r="AI1" s="2">
        <v>44316</v>
      </c>
      <c r="AJ1" s="2">
        <v>44408</v>
      </c>
      <c r="AK1" s="2">
        <v>44500</v>
      </c>
      <c r="AL1" s="2">
        <v>44592</v>
      </c>
      <c r="AM1" s="2">
        <v>44681</v>
      </c>
      <c r="AN1" s="2">
        <v>44773</v>
      </c>
      <c r="AO1" s="2">
        <v>44865</v>
      </c>
      <c r="AP1" s="2">
        <v>44957</v>
      </c>
      <c r="AQ1" s="2">
        <v>45046</v>
      </c>
      <c r="AR1" s="2">
        <v>45138</v>
      </c>
      <c r="AS1" s="2">
        <v>45230</v>
      </c>
      <c r="AT1" s="2">
        <v>45322</v>
      </c>
      <c r="AU1" s="2">
        <v>45412</v>
      </c>
      <c r="AV1" s="2">
        <v>45504</v>
      </c>
      <c r="AW1" s="2">
        <v>45596</v>
      </c>
      <c r="AX1" s="2">
        <v>45688</v>
      </c>
      <c r="AY1" s="2">
        <v>45777</v>
      </c>
      <c r="AZ1" s="2">
        <v>45869</v>
      </c>
      <c r="BA1" s="2">
        <v>45961</v>
      </c>
      <c r="BB1" s="2">
        <v>46053</v>
      </c>
      <c r="BD1" s="2">
        <v>41670</v>
      </c>
      <c r="BE1" s="2">
        <v>42035</v>
      </c>
      <c r="BF1" s="2">
        <v>42400</v>
      </c>
      <c r="BG1" s="2">
        <v>42766</v>
      </c>
      <c r="BH1" s="2">
        <v>43131</v>
      </c>
      <c r="BI1" s="2">
        <v>43496</v>
      </c>
      <c r="BJ1" s="2">
        <v>43861</v>
      </c>
      <c r="BK1" s="2">
        <v>44227</v>
      </c>
      <c r="BL1" s="2">
        <v>44592</v>
      </c>
      <c r="BM1" s="2">
        <v>44957</v>
      </c>
      <c r="BN1" s="2">
        <v>45322</v>
      </c>
      <c r="BO1" s="2">
        <v>45688</v>
      </c>
      <c r="BP1" s="2">
        <v>46053</v>
      </c>
      <c r="BQ1" s="2">
        <v>46418</v>
      </c>
      <c r="BR1" s="2">
        <v>46783</v>
      </c>
      <c r="BS1" s="2">
        <v>47149</v>
      </c>
      <c r="BT1" s="2">
        <v>47514</v>
      </c>
      <c r="BU1" s="2">
        <v>47879</v>
      </c>
      <c r="BV1" s="2">
        <v>48244</v>
      </c>
      <c r="BW1" s="2">
        <v>48610</v>
      </c>
      <c r="BX1" s="2">
        <v>48975</v>
      </c>
      <c r="BY1" s="2">
        <v>49340</v>
      </c>
      <c r="BZ1" s="2">
        <v>49705</v>
      </c>
    </row>
    <row r="2" spans="2:182" x14ac:dyDescent="0.3">
      <c r="C2" s="7" t="s">
        <v>39</v>
      </c>
      <c r="D2" s="7" t="s">
        <v>40</v>
      </c>
      <c r="E2" s="7" t="s">
        <v>41</v>
      </c>
      <c r="F2" s="7" t="s">
        <v>42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  <c r="L2" s="7" t="s">
        <v>17</v>
      </c>
      <c r="M2" s="7" t="s">
        <v>18</v>
      </c>
      <c r="N2" s="7" t="s">
        <v>19</v>
      </c>
      <c r="O2" s="7" t="s">
        <v>20</v>
      </c>
      <c r="P2" s="7" t="s">
        <v>21</v>
      </c>
      <c r="Q2" s="7" t="s">
        <v>22</v>
      </c>
      <c r="R2" s="7" t="s">
        <v>23</v>
      </c>
      <c r="S2" s="7" t="s">
        <v>24</v>
      </c>
      <c r="T2" s="7" t="s">
        <v>25</v>
      </c>
      <c r="U2" s="7" t="s">
        <v>26</v>
      </c>
      <c r="V2" s="7" t="s">
        <v>27</v>
      </c>
      <c r="W2" s="7" t="s">
        <v>28</v>
      </c>
      <c r="X2" s="7" t="s">
        <v>29</v>
      </c>
      <c r="Y2" s="7" t="s">
        <v>30</v>
      </c>
      <c r="Z2" s="7" t="s">
        <v>31</v>
      </c>
      <c r="AA2" s="7" t="s">
        <v>32</v>
      </c>
      <c r="AB2" s="7" t="s">
        <v>33</v>
      </c>
      <c r="AC2" s="7" t="s">
        <v>34</v>
      </c>
      <c r="AD2" s="7" t="s">
        <v>35</v>
      </c>
      <c r="AE2" s="7" t="s">
        <v>36</v>
      </c>
      <c r="AF2" s="7" t="s">
        <v>10</v>
      </c>
      <c r="AG2" s="7" t="s">
        <v>37</v>
      </c>
      <c r="AH2" s="7" t="s">
        <v>38</v>
      </c>
      <c r="AI2" s="7" t="s">
        <v>70</v>
      </c>
      <c r="AJ2" s="7" t="s">
        <v>71</v>
      </c>
      <c r="AK2" s="7" t="s">
        <v>72</v>
      </c>
      <c r="AL2" s="7" t="s">
        <v>73</v>
      </c>
      <c r="AM2" s="7" t="s">
        <v>80</v>
      </c>
      <c r="AN2" s="7" t="s">
        <v>81</v>
      </c>
      <c r="AO2" s="7" t="s">
        <v>82</v>
      </c>
      <c r="AP2" s="7" t="s">
        <v>83</v>
      </c>
      <c r="AQ2" s="7" t="s">
        <v>84</v>
      </c>
      <c r="AR2" s="7" t="s">
        <v>85</v>
      </c>
      <c r="AS2" s="7" t="s">
        <v>86</v>
      </c>
      <c r="AT2" s="7" t="s">
        <v>87</v>
      </c>
      <c r="AU2" s="7" t="s">
        <v>76</v>
      </c>
      <c r="AV2" s="7" t="s">
        <v>75</v>
      </c>
      <c r="AW2" s="7" t="s">
        <v>88</v>
      </c>
      <c r="AX2" s="7" t="s">
        <v>89</v>
      </c>
      <c r="AY2" s="7" t="s">
        <v>119</v>
      </c>
      <c r="AZ2" s="7" t="s">
        <v>120</v>
      </c>
      <c r="BA2" s="7" t="s">
        <v>121</v>
      </c>
      <c r="BB2" s="7" t="s">
        <v>122</v>
      </c>
      <c r="BD2">
        <v>2013</v>
      </c>
      <c r="BE2">
        <v>2014</v>
      </c>
      <c r="BF2">
        <v>2015</v>
      </c>
      <c r="BG2">
        <v>2016</v>
      </c>
      <c r="BH2">
        <v>2017</v>
      </c>
      <c r="BI2">
        <v>2018</v>
      </c>
      <c r="BJ2">
        <v>2019</v>
      </c>
      <c r="BK2">
        <v>2020</v>
      </c>
      <c r="BL2">
        <v>2021</v>
      </c>
      <c r="BM2">
        <v>2022</v>
      </c>
      <c r="BN2">
        <v>2023</v>
      </c>
      <c r="BO2">
        <v>2024</v>
      </c>
      <c r="BP2">
        <v>2025</v>
      </c>
      <c r="BQ2">
        <v>2026</v>
      </c>
      <c r="BR2">
        <v>2027</v>
      </c>
      <c r="BS2">
        <v>2028</v>
      </c>
      <c r="BT2">
        <v>2029</v>
      </c>
      <c r="BU2">
        <v>2030</v>
      </c>
      <c r="BV2">
        <v>2031</v>
      </c>
      <c r="BW2">
        <v>2032</v>
      </c>
      <c r="BX2">
        <v>2033</v>
      </c>
      <c r="BY2">
        <v>2034</v>
      </c>
      <c r="BZ2">
        <v>2035</v>
      </c>
    </row>
    <row r="3" spans="2:182" x14ac:dyDescent="0.3">
      <c r="B3" t="s">
        <v>77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3">
        <v>513.1</v>
      </c>
      <c r="AF3" s="13">
        <v>441.6</v>
      </c>
      <c r="AG3" s="13">
        <v>413.4</v>
      </c>
      <c r="AH3" s="13">
        <v>1162.7</v>
      </c>
      <c r="AI3" s="13">
        <v>703.5</v>
      </c>
      <c r="AJ3" s="13">
        <v>609.6</v>
      </c>
      <c r="AK3" s="13">
        <v>669.9</v>
      </c>
      <c r="AL3" s="13">
        <v>1188.7</v>
      </c>
      <c r="AM3" s="13">
        <v>673.8</v>
      </c>
      <c r="AN3" s="13">
        <v>596.4</v>
      </c>
      <c r="AO3" s="13">
        <v>627</v>
      </c>
      <c r="AP3" s="13">
        <v>1242.8</v>
      </c>
      <c r="AQ3" s="13">
        <v>725.8</v>
      </c>
      <c r="AR3" s="13">
        <v>597</v>
      </c>
      <c r="AS3" s="13">
        <v>579.4</v>
      </c>
      <c r="AT3" s="13">
        <v>1094.5999999999999</v>
      </c>
      <c r="AU3" s="13">
        <v>505.3</v>
      </c>
      <c r="AV3" s="13">
        <v>451.2</v>
      </c>
      <c r="AW3" s="13">
        <v>417.4</v>
      </c>
      <c r="AX3" s="13">
        <v>725.8</v>
      </c>
      <c r="AY3" s="13">
        <f>AU3*0.82</f>
        <v>414.346</v>
      </c>
      <c r="AZ3" s="13">
        <f>AV3*0.8</f>
        <v>360.96000000000004</v>
      </c>
      <c r="BA3" s="13">
        <f t="shared" ref="BA3:BA4" si="0">AW3*0.85</f>
        <v>354.78999999999996</v>
      </c>
      <c r="BB3" s="13">
        <f>AX3*0.9</f>
        <v>653.22</v>
      </c>
      <c r="BK3" s="13">
        <v>2530.8000000000002</v>
      </c>
      <c r="BL3" s="13">
        <f>SUM(AG3:AJ3)</f>
        <v>2889.2</v>
      </c>
      <c r="BM3" s="5">
        <f>SUM(AM3:AP3)</f>
        <v>3140</v>
      </c>
      <c r="BN3" s="5">
        <f>SUM(AQ3:AT3)</f>
        <v>2996.7999999999997</v>
      </c>
      <c r="BO3" s="5">
        <f>SUM(AU3:AX3)</f>
        <v>2099.6999999999998</v>
      </c>
      <c r="BP3" s="5">
        <f>SUM(AY3:BB3)</f>
        <v>1783.316</v>
      </c>
      <c r="BQ3" s="5">
        <f>BP3*1.01</f>
        <v>1801.1491599999999</v>
      </c>
      <c r="BR3" s="5">
        <f t="shared" ref="BR3:BZ4" si="1">BQ3*1.01</f>
        <v>1819.1606515999999</v>
      </c>
      <c r="BS3" s="5">
        <f t="shared" si="1"/>
        <v>1837.352258116</v>
      </c>
      <c r="BT3" s="5">
        <f t="shared" si="1"/>
        <v>1855.72578069716</v>
      </c>
      <c r="BU3" s="5">
        <f t="shared" si="1"/>
        <v>1874.2830385041316</v>
      </c>
      <c r="BV3" s="5">
        <f t="shared" si="1"/>
        <v>1893.0258688891729</v>
      </c>
      <c r="BW3" s="5">
        <f t="shared" si="1"/>
        <v>1911.9561275780648</v>
      </c>
      <c r="BX3" s="5">
        <f t="shared" si="1"/>
        <v>1931.0756888538453</v>
      </c>
      <c r="BY3" s="5">
        <f t="shared" si="1"/>
        <v>1950.3864457423838</v>
      </c>
      <c r="BZ3" s="5">
        <f t="shared" si="1"/>
        <v>1969.8903101998076</v>
      </c>
    </row>
    <row r="4" spans="2:182" x14ac:dyDescent="0.3">
      <c r="B4" t="s">
        <v>78</v>
      </c>
      <c r="C4" s="7"/>
      <c r="D4" s="7"/>
      <c r="E4" s="7"/>
      <c r="F4" s="21"/>
      <c r="G4" s="7"/>
      <c r="H4" s="7"/>
      <c r="I4" s="7"/>
      <c r="J4" s="21"/>
      <c r="K4" s="7"/>
      <c r="L4" s="7"/>
      <c r="M4" s="7"/>
      <c r="N4" s="21"/>
      <c r="O4" s="7"/>
      <c r="P4" s="7"/>
      <c r="Q4" s="7"/>
      <c r="R4" s="21"/>
      <c r="S4" s="7"/>
      <c r="T4" s="7"/>
      <c r="U4" s="7"/>
      <c r="V4" s="21"/>
      <c r="W4" s="7"/>
      <c r="X4" s="7"/>
      <c r="Y4" s="7"/>
      <c r="Z4" s="21"/>
      <c r="AA4" s="7"/>
      <c r="AB4" s="7"/>
      <c r="AC4" s="7"/>
      <c r="AD4" s="21"/>
      <c r="AE4" s="13">
        <v>417</v>
      </c>
      <c r="AF4" s="13">
        <v>386.5</v>
      </c>
      <c r="AG4" s="13">
        <v>444.4</v>
      </c>
      <c r="AH4" s="13">
        <v>731.2</v>
      </c>
      <c r="AI4" s="13">
        <v>397.9</v>
      </c>
      <c r="AJ4" s="13">
        <v>396.6</v>
      </c>
      <c r="AK4" s="13">
        <v>434.5</v>
      </c>
      <c r="AL4" s="13">
        <v>785.9</v>
      </c>
      <c r="AM4" s="13">
        <v>483.7</v>
      </c>
      <c r="AN4" s="13">
        <v>316.39999999999998</v>
      </c>
      <c r="AO4" s="13">
        <v>352.1</v>
      </c>
      <c r="AP4" s="13">
        <v>670.4</v>
      </c>
      <c r="AQ4" s="13">
        <v>338.3</v>
      </c>
      <c r="AR4" s="13">
        <v>397</v>
      </c>
      <c r="AS4" s="13">
        <v>321.3</v>
      </c>
      <c r="AT4" s="13">
        <v>465.3</v>
      </c>
      <c r="AU4" s="13">
        <v>239.7</v>
      </c>
      <c r="AV4" s="13">
        <v>207.7</v>
      </c>
      <c r="AW4" s="13">
        <v>271.8</v>
      </c>
      <c r="AX4" s="13">
        <v>286.2</v>
      </c>
      <c r="AY4" s="13">
        <f>AU4*0.82</f>
        <v>196.55399999999997</v>
      </c>
      <c r="AZ4" s="13">
        <f>AV4*0.8</f>
        <v>166.16</v>
      </c>
      <c r="BA4" s="13">
        <f t="shared" si="0"/>
        <v>231.03</v>
      </c>
      <c r="BB4" s="13">
        <f>AX4*0.9</f>
        <v>257.58</v>
      </c>
      <c r="BK4" s="13">
        <v>1979.1</v>
      </c>
      <c r="BL4" s="13">
        <f>SUM(AG4:AJ4)</f>
        <v>1970.1</v>
      </c>
      <c r="BM4" s="5">
        <f>SUM(AM4:AP4)</f>
        <v>1822.6</v>
      </c>
      <c r="BN4" s="5">
        <f>SUM(AQ4:AT4)</f>
        <v>1521.8999999999999</v>
      </c>
      <c r="BO4" s="5">
        <f>SUM(AU4:AX4)</f>
        <v>1005.4000000000001</v>
      </c>
      <c r="BP4" s="5">
        <f>SUM(AY4:BB4)</f>
        <v>851.32399999999984</v>
      </c>
      <c r="BQ4" s="5">
        <f>BP4*1.02</f>
        <v>868.35047999999983</v>
      </c>
      <c r="BR4" s="5">
        <f t="shared" ref="BR4:BZ5" si="2">BQ4*1.02</f>
        <v>885.71748959999979</v>
      </c>
      <c r="BS4" s="5">
        <f t="shared" si="2"/>
        <v>903.4318393919998</v>
      </c>
      <c r="BT4" s="5">
        <f t="shared" si="2"/>
        <v>921.50047617983978</v>
      </c>
      <c r="BU4" s="5">
        <f t="shared" si="2"/>
        <v>939.9304857034366</v>
      </c>
      <c r="BV4" s="5">
        <f>BU4*1.01</f>
        <v>949.329790560471</v>
      </c>
      <c r="BW4" s="5">
        <f t="shared" si="1"/>
        <v>958.82308846607566</v>
      </c>
      <c r="BX4" s="5">
        <f t="shared" si="1"/>
        <v>968.41131935073645</v>
      </c>
      <c r="BY4" s="5">
        <f t="shared" si="1"/>
        <v>978.09543254424386</v>
      </c>
      <c r="BZ4" s="5">
        <f t="shared" si="1"/>
        <v>987.87638686968626</v>
      </c>
    </row>
    <row r="5" spans="2:182" x14ac:dyDescent="0.3">
      <c r="B5" t="s">
        <v>79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3">
        <v>90.9</v>
      </c>
      <c r="AF5" s="13">
        <v>113.9</v>
      </c>
      <c r="AG5" s="13">
        <v>146.9</v>
      </c>
      <c r="AH5" s="13">
        <v>228.2</v>
      </c>
      <c r="AI5" s="13">
        <v>175.4</v>
      </c>
      <c r="AJ5" s="13">
        <v>177.2</v>
      </c>
      <c r="AK5" s="13">
        <v>192.2</v>
      </c>
      <c r="AL5" s="13">
        <v>279.3</v>
      </c>
      <c r="AM5" s="13">
        <v>220.9</v>
      </c>
      <c r="AN5" s="13">
        <v>223.2</v>
      </c>
      <c r="AO5" s="13">
        <v>207.3</v>
      </c>
      <c r="AP5" s="13">
        <v>313.2</v>
      </c>
      <c r="AQ5" s="13">
        <v>173</v>
      </c>
      <c r="AR5" s="13">
        <v>169.8</v>
      </c>
      <c r="AS5" s="13">
        <v>177.6</v>
      </c>
      <c r="AT5" s="13">
        <v>233.7</v>
      </c>
      <c r="AU5" s="13">
        <v>136.80000000000001</v>
      </c>
      <c r="AV5" s="13">
        <v>139.4</v>
      </c>
      <c r="AW5" s="13">
        <v>171.1</v>
      </c>
      <c r="AX5" s="13">
        <v>270.60000000000002</v>
      </c>
      <c r="AY5" s="13">
        <f>AU5*1.1</f>
        <v>150.48000000000002</v>
      </c>
      <c r="AZ5" s="13">
        <f t="shared" ref="AZ5:BB5" si="3">AV5*1.1</f>
        <v>153.34000000000003</v>
      </c>
      <c r="BA5" s="13">
        <f t="shared" si="3"/>
        <v>188.21</v>
      </c>
      <c r="BB5" s="13">
        <f t="shared" si="3"/>
        <v>297.66000000000003</v>
      </c>
      <c r="BK5" s="13">
        <v>579.9</v>
      </c>
      <c r="BL5" s="13">
        <f>SUM(AG5:AJ5)</f>
        <v>727.7</v>
      </c>
      <c r="BM5" s="5">
        <f>SUM(AM5:AP5)</f>
        <v>964.60000000000014</v>
      </c>
      <c r="BN5" s="5">
        <f>SUM(AQ5:AT5)</f>
        <v>754.09999999999991</v>
      </c>
      <c r="BO5" s="5">
        <f>SUM(AU5:AX5)</f>
        <v>717.90000000000009</v>
      </c>
      <c r="BP5" s="5">
        <f>SUM(AY5:BB5)</f>
        <v>789.69</v>
      </c>
      <c r="BQ5" s="5">
        <f>BP5*1.08</f>
        <v>852.86520000000007</v>
      </c>
      <c r="BR5" s="5">
        <f>BQ5*1.06</f>
        <v>904.03711200000009</v>
      </c>
      <c r="BS5" s="5">
        <f>BR5*1.04</f>
        <v>940.19859648000011</v>
      </c>
      <c r="BT5" s="5">
        <f>BS5*1.03</f>
        <v>968.40455437440016</v>
      </c>
      <c r="BU5" s="5">
        <f>BT5*1.03</f>
        <v>997.45669100563214</v>
      </c>
      <c r="BV5" s="5">
        <f>BU5*1.02</f>
        <v>1017.4058248257448</v>
      </c>
      <c r="BW5" s="5">
        <f t="shared" si="2"/>
        <v>1037.7539413222598</v>
      </c>
      <c r="BX5" s="5">
        <f t="shared" si="2"/>
        <v>1058.5090201487051</v>
      </c>
      <c r="BY5" s="5">
        <f t="shared" si="2"/>
        <v>1079.6792005516793</v>
      </c>
      <c r="BZ5" s="5">
        <f t="shared" si="2"/>
        <v>1101.2727845627128</v>
      </c>
    </row>
    <row r="6" spans="2:182" s="1" customFormat="1" x14ac:dyDescent="0.3">
      <c r="B6" s="1" t="s">
        <v>11</v>
      </c>
      <c r="C6" s="10">
        <v>1865.3</v>
      </c>
      <c r="D6" s="10">
        <v>1383.7</v>
      </c>
      <c r="E6" s="10">
        <v>2106.6999999999998</v>
      </c>
      <c r="F6" s="10">
        <v>3683.8</v>
      </c>
      <c r="G6" s="10">
        <v>1996.3</v>
      </c>
      <c r="H6" s="10">
        <v>1731.4</v>
      </c>
      <c r="I6" s="10">
        <v>2092.1999999999998</v>
      </c>
      <c r="J6" s="10">
        <v>3476.1</v>
      </c>
      <c r="K6" s="10">
        <v>2060.6</v>
      </c>
      <c r="L6" s="10">
        <v>1761.9</v>
      </c>
      <c r="M6" s="10">
        <v>2016.3</v>
      </c>
      <c r="N6" s="10">
        <v>3525</v>
      </c>
      <c r="O6" s="10">
        <v>1971.5</v>
      </c>
      <c r="P6" s="10">
        <v>1631.8</v>
      </c>
      <c r="Q6" s="10">
        <v>1959.2</v>
      </c>
      <c r="R6" s="10">
        <v>3045.4</v>
      </c>
      <c r="S6" s="10">
        <v>2045.9</v>
      </c>
      <c r="T6" s="10">
        <v>1687.6</v>
      </c>
      <c r="U6" s="10">
        <v>1988.6</v>
      </c>
      <c r="V6" s="10">
        <v>3502.5</v>
      </c>
      <c r="W6" s="10">
        <v>1934</v>
      </c>
      <c r="X6" s="10">
        <v>1646.7</v>
      </c>
      <c r="Y6" s="10">
        <v>1935.4</v>
      </c>
      <c r="Z6" s="10">
        <v>3063</v>
      </c>
      <c r="AA6" s="10">
        <v>1547.7</v>
      </c>
      <c r="AB6" s="10">
        <v>1285.7</v>
      </c>
      <c r="AC6" s="10">
        <v>1438.5</v>
      </c>
      <c r="AD6" s="10">
        <v>2194.1</v>
      </c>
      <c r="AE6" s="10">
        <v>1021</v>
      </c>
      <c r="AF6" s="10">
        <v>942</v>
      </c>
      <c r="AG6" s="10">
        <v>1004.7</v>
      </c>
      <c r="AH6" s="10">
        <v>2122.1</v>
      </c>
      <c r="AI6" s="10">
        <v>1276.8</v>
      </c>
      <c r="AJ6" s="14">
        <f t="shared" ref="AJ6:AL6" si="4">SUM(AJ3:AJ5)</f>
        <v>1183.4000000000001</v>
      </c>
      <c r="AK6" s="14">
        <f t="shared" si="4"/>
        <v>1296.6000000000001</v>
      </c>
      <c r="AL6" s="14">
        <f t="shared" si="4"/>
        <v>2253.9</v>
      </c>
      <c r="AM6" s="14">
        <f>SUM(AM3:AM5)</f>
        <v>1378.4</v>
      </c>
      <c r="AN6" s="14">
        <f>SUM(AN3:AN5)</f>
        <v>1136</v>
      </c>
      <c r="AO6" s="14">
        <v>1186</v>
      </c>
      <c r="AP6" s="14">
        <v>2226.4</v>
      </c>
      <c r="AQ6" s="14">
        <v>1237.0999999999999</v>
      </c>
      <c r="AR6" s="14">
        <v>1163.8</v>
      </c>
      <c r="AS6" s="14">
        <v>1078.3</v>
      </c>
      <c r="AT6" s="14">
        <v>1793.6</v>
      </c>
      <c r="AU6" s="14">
        <v>881.8</v>
      </c>
      <c r="AV6" s="14">
        <v>798.3</v>
      </c>
      <c r="AW6" s="14">
        <f t="shared" ref="AW6:BB6" si="5">SUM(AW3:AW5)</f>
        <v>860.30000000000007</v>
      </c>
      <c r="AX6" s="14">
        <f t="shared" si="5"/>
        <v>1282.5999999999999</v>
      </c>
      <c r="AY6" s="14">
        <f t="shared" si="5"/>
        <v>761.38</v>
      </c>
      <c r="AZ6" s="14">
        <f t="shared" si="5"/>
        <v>680.46</v>
      </c>
      <c r="BA6" s="14">
        <f t="shared" si="5"/>
        <v>774.03</v>
      </c>
      <c r="BB6" s="14">
        <f t="shared" si="5"/>
        <v>1208.46</v>
      </c>
      <c r="BD6" s="10">
        <f>SUM(C6:F6)</f>
        <v>9039.5</v>
      </c>
      <c r="BE6" s="10">
        <f>SUM(G6:J6)</f>
        <v>9296</v>
      </c>
      <c r="BF6" s="10">
        <f>SUM(K6:N6)</f>
        <v>9363.7999999999993</v>
      </c>
      <c r="BG6" s="10">
        <f>SUM(O6:R6)</f>
        <v>8607.9</v>
      </c>
      <c r="BH6" s="10">
        <f>SUM(S6:V6)</f>
        <v>9224.6</v>
      </c>
      <c r="BI6" s="10">
        <f>SUM(W6:Z6)</f>
        <v>8579.1</v>
      </c>
      <c r="BJ6" s="10">
        <f>SUM(AA6:AD6)</f>
        <v>6466</v>
      </c>
      <c r="BK6" s="10">
        <f>SUM(AE6:AH6)</f>
        <v>5089.7999999999993</v>
      </c>
      <c r="BL6" s="10">
        <f>SUM(AI6:AL6)</f>
        <v>6010.7000000000007</v>
      </c>
      <c r="BM6" s="10">
        <f>SUM(AM6:AP6)</f>
        <v>5926.8</v>
      </c>
      <c r="BN6" s="10">
        <f>SUM(AQ6:AT6)</f>
        <v>5272.7999999999993</v>
      </c>
      <c r="BO6" s="10">
        <f>SUM(AU6:AX6)</f>
        <v>3823</v>
      </c>
      <c r="BP6" s="15">
        <f>SUM(BP3:BP5)</f>
        <v>3424.33</v>
      </c>
      <c r="BQ6" s="15">
        <f t="shared" ref="BQ6:BZ6" si="6">SUM(BQ3:BQ5)</f>
        <v>3522.3648400000002</v>
      </c>
      <c r="BR6" s="15">
        <f t="shared" si="6"/>
        <v>3608.9152531999998</v>
      </c>
      <c r="BS6" s="15">
        <f t="shared" si="6"/>
        <v>3680.9826939879999</v>
      </c>
      <c r="BT6" s="15">
        <f t="shared" si="6"/>
        <v>3745.6308112513998</v>
      </c>
      <c r="BU6" s="15">
        <f t="shared" si="6"/>
        <v>3811.6702152132002</v>
      </c>
      <c r="BV6" s="15">
        <f t="shared" si="6"/>
        <v>3859.7614842753887</v>
      </c>
      <c r="BW6" s="15">
        <f t="shared" si="6"/>
        <v>3908.5331573664002</v>
      </c>
      <c r="BX6" s="15">
        <f t="shared" si="6"/>
        <v>3957.9960283532869</v>
      </c>
      <c r="BY6" s="15">
        <f t="shared" si="6"/>
        <v>4008.1610788383068</v>
      </c>
      <c r="BZ6" s="15">
        <f t="shared" si="6"/>
        <v>4059.0394816322064</v>
      </c>
    </row>
    <row r="7" spans="2:182" x14ac:dyDescent="0.3">
      <c r="B7" t="s">
        <v>43</v>
      </c>
      <c r="C7" s="5">
        <v>1287</v>
      </c>
      <c r="D7" s="5">
        <v>902.3</v>
      </c>
      <c r="E7" s="5">
        <v>1508.3</v>
      </c>
      <c r="F7" s="5">
        <v>2680.8</v>
      </c>
      <c r="G7" s="5">
        <v>1369.9</v>
      </c>
      <c r="H7" s="5">
        <v>1180.5</v>
      </c>
      <c r="I7" s="5">
        <v>1470</v>
      </c>
      <c r="J7" s="5">
        <v>2499.6999999999998</v>
      </c>
      <c r="K7" s="5">
        <v>1421.6</v>
      </c>
      <c r="L7" s="5">
        <v>1181.4000000000001</v>
      </c>
      <c r="M7" s="5">
        <v>1360.7</v>
      </c>
      <c r="N7" s="5">
        <v>2481.8000000000002</v>
      </c>
      <c r="O7" s="5">
        <v>1296</v>
      </c>
      <c r="P7" s="5">
        <v>1014.1</v>
      </c>
      <c r="Q7" s="5">
        <v>1251</v>
      </c>
      <c r="R7" s="5">
        <v>2037.5</v>
      </c>
      <c r="S7" s="5">
        <v>1343.4</v>
      </c>
      <c r="T7" s="5">
        <v>1063.9000000000001</v>
      </c>
      <c r="U7" s="5">
        <v>1299.2</v>
      </c>
      <c r="V7" s="5">
        <v>2478</v>
      </c>
      <c r="W7" s="5">
        <v>1276.7</v>
      </c>
      <c r="X7" s="5">
        <v>1050.5999999999999</v>
      </c>
      <c r="Y7" s="5">
        <v>1377.2</v>
      </c>
      <c r="Z7" s="5">
        <v>2314.1999999999998</v>
      </c>
      <c r="AA7" s="5">
        <v>1076.5</v>
      </c>
      <c r="AB7" s="5">
        <v>886.6</v>
      </c>
      <c r="AC7" s="5">
        <v>997.4</v>
      </c>
      <c r="AD7" s="5">
        <v>1596.8</v>
      </c>
      <c r="AE7" s="5">
        <v>738.6</v>
      </c>
      <c r="AF7" s="5">
        <v>689.8</v>
      </c>
      <c r="AG7" s="5">
        <v>728.4</v>
      </c>
      <c r="AH7" s="5">
        <v>1673.5</v>
      </c>
      <c r="AI7" s="5">
        <v>946.7</v>
      </c>
      <c r="AJ7" s="13">
        <v>862.5</v>
      </c>
      <c r="AK7" s="13">
        <v>978</v>
      </c>
      <c r="AL7" s="13">
        <v>1875.7</v>
      </c>
      <c r="AM7" s="13">
        <v>1079.9000000000001</v>
      </c>
      <c r="AN7" s="13">
        <v>853.8</v>
      </c>
      <c r="AO7" s="13">
        <v>894.8</v>
      </c>
      <c r="AP7" s="13">
        <v>1726.6</v>
      </c>
      <c r="AQ7" s="13">
        <v>949.8</v>
      </c>
      <c r="AR7" s="13">
        <v>857.9</v>
      </c>
      <c r="AS7" s="13">
        <v>796.5</v>
      </c>
      <c r="AT7" s="13">
        <v>1374.4</v>
      </c>
      <c r="AU7" s="13">
        <v>637.29999999999995</v>
      </c>
      <c r="AV7" s="13">
        <v>549.5</v>
      </c>
      <c r="AW7" s="13">
        <v>603.1</v>
      </c>
      <c r="AX7" s="13">
        <v>919.2</v>
      </c>
      <c r="AY7" s="13">
        <f>AY6-AY8</f>
        <v>548.19359999999995</v>
      </c>
      <c r="AZ7" s="13">
        <f t="shared" ref="AZ7:BB7" si="7">AZ6-AZ8</f>
        <v>469.51740000000007</v>
      </c>
      <c r="BA7" s="13">
        <f t="shared" si="7"/>
        <v>541.82100000000003</v>
      </c>
      <c r="BB7" s="13">
        <f t="shared" si="7"/>
        <v>870.09120000000007</v>
      </c>
      <c r="BD7" s="5">
        <f>SUM(C7:F7)</f>
        <v>6378.4000000000005</v>
      </c>
      <c r="BE7" s="5">
        <f>SUM(G7:J7)</f>
        <v>6520.1</v>
      </c>
      <c r="BF7" s="5">
        <f>SUM(K7:N7)</f>
        <v>6445.5</v>
      </c>
      <c r="BG7" s="5">
        <f>SUM(O7:R7)</f>
        <v>5598.6</v>
      </c>
      <c r="BH7" s="5">
        <f>SUM(S7:V7)</f>
        <v>6184.5</v>
      </c>
      <c r="BI7" s="5">
        <f>SUM(W7:Z7)</f>
        <v>6018.7</v>
      </c>
      <c r="BJ7" s="5">
        <f>SUM(AA7:AD7)</f>
        <v>4557.3</v>
      </c>
      <c r="BK7" s="5">
        <f>SUM(AE7:AH7)</f>
        <v>3830.3</v>
      </c>
      <c r="BL7" s="5">
        <f>SUM(AI7:AL7)</f>
        <v>4662.8999999999996</v>
      </c>
      <c r="BM7" s="5">
        <f>SUM(AM7:AP7)</f>
        <v>4555.1000000000004</v>
      </c>
      <c r="BN7" s="5">
        <f>SUM(AQ7:AT7)</f>
        <v>3978.6</v>
      </c>
      <c r="BO7" s="5">
        <f>SUM(AU7:AX7)</f>
        <v>2709.1000000000004</v>
      </c>
      <c r="BP7" s="5">
        <f>SUM(AY7:BB7)</f>
        <v>2429.6232</v>
      </c>
      <c r="BQ7" s="13">
        <f>BQ6*0.69</f>
        <v>2430.4317396000001</v>
      </c>
      <c r="BR7" s="13">
        <f>BR6*0.68</f>
        <v>2454.0623721760003</v>
      </c>
      <c r="BS7" s="13">
        <f t="shared" ref="BS7:BZ7" si="8">BS6*0.68</f>
        <v>2503.06823191184</v>
      </c>
      <c r="BT7" s="13">
        <f t="shared" si="8"/>
        <v>2547.028951650952</v>
      </c>
      <c r="BU7" s="13">
        <f t="shared" si="8"/>
        <v>2591.9357463449765</v>
      </c>
      <c r="BV7" s="13">
        <f t="shared" si="8"/>
        <v>2624.6378093072644</v>
      </c>
      <c r="BW7" s="13">
        <f t="shared" si="8"/>
        <v>2657.8025470091525</v>
      </c>
      <c r="BX7" s="13">
        <f t="shared" si="8"/>
        <v>2691.4372992802355</v>
      </c>
      <c r="BY7" s="13">
        <f t="shared" si="8"/>
        <v>2725.5495336100489</v>
      </c>
      <c r="BZ7" s="13">
        <f t="shared" si="8"/>
        <v>2760.1468475099005</v>
      </c>
    </row>
    <row r="8" spans="2:182" s="1" customFormat="1" x14ac:dyDescent="0.3">
      <c r="B8" s="1" t="s">
        <v>44</v>
      </c>
      <c r="C8" s="10">
        <f t="shared" ref="C8:AF8" si="9">C6-C7</f>
        <v>578.29999999999995</v>
      </c>
      <c r="D8" s="10">
        <f t="shared" si="9"/>
        <v>481.40000000000009</v>
      </c>
      <c r="E8" s="10">
        <f t="shared" si="9"/>
        <v>598.39999999999986</v>
      </c>
      <c r="F8" s="10">
        <f t="shared" si="9"/>
        <v>1003</v>
      </c>
      <c r="G8" s="10">
        <f t="shared" si="9"/>
        <v>626.39999999999986</v>
      </c>
      <c r="H8" s="10">
        <f t="shared" si="9"/>
        <v>550.90000000000009</v>
      </c>
      <c r="I8" s="10">
        <f t="shared" si="9"/>
        <v>622.19999999999982</v>
      </c>
      <c r="J8" s="10">
        <f t="shared" si="9"/>
        <v>976.40000000000009</v>
      </c>
      <c r="K8" s="10">
        <f t="shared" si="9"/>
        <v>639</v>
      </c>
      <c r="L8" s="10">
        <f t="shared" si="9"/>
        <v>580.5</v>
      </c>
      <c r="M8" s="10">
        <f t="shared" si="9"/>
        <v>655.59999999999991</v>
      </c>
      <c r="N8" s="10">
        <f t="shared" si="9"/>
        <v>1043.1999999999998</v>
      </c>
      <c r="O8" s="10">
        <f t="shared" si="9"/>
        <v>675.5</v>
      </c>
      <c r="P8" s="10">
        <f t="shared" si="9"/>
        <v>617.69999999999993</v>
      </c>
      <c r="Q8" s="10">
        <f t="shared" si="9"/>
        <v>708.2</v>
      </c>
      <c r="R8" s="10">
        <f t="shared" si="9"/>
        <v>1007.9000000000001</v>
      </c>
      <c r="S8" s="10">
        <f t="shared" si="9"/>
        <v>702.5</v>
      </c>
      <c r="T8" s="10">
        <f t="shared" si="9"/>
        <v>623.69999999999982</v>
      </c>
      <c r="U8" s="10">
        <f t="shared" si="9"/>
        <v>689.39999999999986</v>
      </c>
      <c r="V8" s="10">
        <f t="shared" si="9"/>
        <v>1024.5</v>
      </c>
      <c r="W8" s="10">
        <f t="shared" si="9"/>
        <v>657.3</v>
      </c>
      <c r="X8" s="10">
        <f t="shared" si="9"/>
        <v>596.10000000000014</v>
      </c>
      <c r="Y8" s="10">
        <f t="shared" si="9"/>
        <v>558.20000000000005</v>
      </c>
      <c r="Z8" s="10">
        <f t="shared" si="9"/>
        <v>748.80000000000018</v>
      </c>
      <c r="AA8" s="10">
        <f t="shared" si="9"/>
        <v>471.20000000000005</v>
      </c>
      <c r="AB8" s="10">
        <f t="shared" si="9"/>
        <v>399.1</v>
      </c>
      <c r="AC8" s="10">
        <f t="shared" si="9"/>
        <v>441.1</v>
      </c>
      <c r="AD8" s="10">
        <f t="shared" si="9"/>
        <v>597.29999999999995</v>
      </c>
      <c r="AE8" s="10">
        <f t="shared" si="9"/>
        <v>282.39999999999998</v>
      </c>
      <c r="AF8" s="10">
        <f t="shared" si="9"/>
        <v>252.20000000000005</v>
      </c>
      <c r="AG8" s="10">
        <f>AG6-AG7</f>
        <v>276.30000000000007</v>
      </c>
      <c r="AH8" s="10">
        <f>AH6-AH7</f>
        <v>448.59999999999991</v>
      </c>
      <c r="AI8" s="10">
        <f>AI6-AI7</f>
        <v>330.09999999999991</v>
      </c>
      <c r="AJ8" s="16">
        <f t="shared" ref="AJ8:AK8" si="10">AJ6-AJ7</f>
        <v>320.90000000000009</v>
      </c>
      <c r="AK8" s="16">
        <f t="shared" si="10"/>
        <v>318.60000000000014</v>
      </c>
      <c r="AL8" s="16">
        <f>AL6-AL7</f>
        <v>378.20000000000005</v>
      </c>
      <c r="AM8" s="16">
        <f>AM6-AM7</f>
        <v>298.5</v>
      </c>
      <c r="AN8" s="16">
        <f>+AN6-AN7</f>
        <v>282.20000000000005</v>
      </c>
      <c r="AO8" s="16">
        <f t="shared" ref="AO8:AP8" si="11">AO6-AO7</f>
        <v>291.20000000000005</v>
      </c>
      <c r="AP8" s="16">
        <f t="shared" si="11"/>
        <v>499.80000000000018</v>
      </c>
      <c r="AQ8" s="16">
        <f>AQ6-AQ7</f>
        <v>287.29999999999995</v>
      </c>
      <c r="AR8" s="16">
        <f t="shared" ref="AR8:AX8" si="12">AR6-AR7</f>
        <v>305.89999999999998</v>
      </c>
      <c r="AS8" s="16">
        <f t="shared" si="12"/>
        <v>281.79999999999995</v>
      </c>
      <c r="AT8" s="16">
        <f t="shared" si="12"/>
        <v>419.19999999999982</v>
      </c>
      <c r="AU8" s="16">
        <f t="shared" si="12"/>
        <v>244.5</v>
      </c>
      <c r="AV8" s="16">
        <f t="shared" si="12"/>
        <v>248.79999999999995</v>
      </c>
      <c r="AW8" s="16">
        <f t="shared" si="12"/>
        <v>257.20000000000005</v>
      </c>
      <c r="AX8" s="16">
        <f t="shared" si="12"/>
        <v>363.39999999999986</v>
      </c>
      <c r="AY8" s="16">
        <f>AY6*0.28</f>
        <v>213.18640000000002</v>
      </c>
      <c r="AZ8" s="16">
        <f>AZ6*0.31</f>
        <v>210.9426</v>
      </c>
      <c r="BA8" s="16">
        <f>BA6*0.3</f>
        <v>232.20899999999997</v>
      </c>
      <c r="BB8" s="16">
        <f>BB6*0.28</f>
        <v>338.36880000000002</v>
      </c>
      <c r="BD8" s="10">
        <f t="shared" ref="BD8:BU8" si="13">BD6-BD7</f>
        <v>2661.0999999999995</v>
      </c>
      <c r="BE8" s="10">
        <f t="shared" si="13"/>
        <v>2775.8999999999996</v>
      </c>
      <c r="BF8" s="10">
        <f t="shared" si="13"/>
        <v>2918.2999999999993</v>
      </c>
      <c r="BG8" s="10">
        <f t="shared" si="13"/>
        <v>3009.2999999999993</v>
      </c>
      <c r="BH8" s="10">
        <f t="shared" si="13"/>
        <v>3040.1000000000004</v>
      </c>
      <c r="BI8" s="10">
        <f t="shared" si="13"/>
        <v>2560.4000000000005</v>
      </c>
      <c r="BJ8" s="10">
        <f t="shared" si="13"/>
        <v>1908.6999999999998</v>
      </c>
      <c r="BK8" s="10">
        <f t="shared" si="13"/>
        <v>1259.4999999999991</v>
      </c>
      <c r="BL8" s="10">
        <f t="shared" si="13"/>
        <v>1347.8000000000011</v>
      </c>
      <c r="BM8" s="10">
        <f t="shared" si="13"/>
        <v>1371.6999999999998</v>
      </c>
      <c r="BN8" s="10">
        <f t="shared" si="13"/>
        <v>1294.1999999999994</v>
      </c>
      <c r="BO8" s="10">
        <f t="shared" si="13"/>
        <v>1113.8999999999996</v>
      </c>
      <c r="BP8" s="16">
        <f t="shared" si="13"/>
        <v>994.70679999999993</v>
      </c>
      <c r="BQ8" s="16">
        <f t="shared" si="13"/>
        <v>1091.9331004000001</v>
      </c>
      <c r="BR8" s="16">
        <f t="shared" si="13"/>
        <v>1154.8528810239995</v>
      </c>
      <c r="BS8" s="16">
        <f t="shared" si="13"/>
        <v>1177.9144620761599</v>
      </c>
      <c r="BT8" s="16">
        <f t="shared" si="13"/>
        <v>1198.6018596004478</v>
      </c>
      <c r="BU8" s="16">
        <f t="shared" si="13"/>
        <v>1219.7344688682238</v>
      </c>
      <c r="BV8" s="16">
        <f t="shared" ref="BV8:BZ8" si="14">BV6-BV7</f>
        <v>1235.1236749681243</v>
      </c>
      <c r="BW8" s="16">
        <f t="shared" si="14"/>
        <v>1250.7306103572478</v>
      </c>
      <c r="BX8" s="16">
        <f t="shared" si="14"/>
        <v>1266.5587290730514</v>
      </c>
      <c r="BY8" s="16">
        <f t="shared" si="14"/>
        <v>1282.6115452282579</v>
      </c>
      <c r="BZ8" s="16">
        <f t="shared" si="14"/>
        <v>1298.8926341223059</v>
      </c>
    </row>
    <row r="9" spans="2:182" x14ac:dyDescent="0.3">
      <c r="B9" t="s">
        <v>45</v>
      </c>
      <c r="C9" s="5">
        <v>449.2</v>
      </c>
      <c r="D9" s="5">
        <v>421.6</v>
      </c>
      <c r="E9" s="5">
        <v>448.5</v>
      </c>
      <c r="F9" s="5">
        <v>573.1</v>
      </c>
      <c r="G9" s="5">
        <v>481</v>
      </c>
      <c r="H9" s="5">
        <v>475.4</v>
      </c>
      <c r="I9" s="5">
        <v>494.3</v>
      </c>
      <c r="J9" s="5">
        <v>550.29999999999995</v>
      </c>
      <c r="K9" s="5">
        <v>479.3</v>
      </c>
      <c r="L9" s="5">
        <v>490.8</v>
      </c>
      <c r="M9" s="5">
        <v>525.5</v>
      </c>
      <c r="N9" s="5">
        <v>613.9</v>
      </c>
      <c r="O9" s="5">
        <v>520.79999999999995</v>
      </c>
      <c r="P9" s="5">
        <v>518.4</v>
      </c>
      <c r="Q9" s="5">
        <v>567.1</v>
      </c>
      <c r="R9" s="5">
        <v>646.29999999999995</v>
      </c>
      <c r="S9" s="5">
        <v>563.5</v>
      </c>
      <c r="T9" s="5">
        <v>542.4</v>
      </c>
      <c r="U9" s="5">
        <v>565.1</v>
      </c>
      <c r="V9" s="5">
        <v>692</v>
      </c>
      <c r="W9" s="5">
        <v>566.1</v>
      </c>
      <c r="X9" s="5">
        <v>542.29999999999995</v>
      </c>
      <c r="Y9" s="5">
        <v>463.6</v>
      </c>
      <c r="Z9" s="5">
        <v>552.5</v>
      </c>
      <c r="AA9" s="5">
        <v>453.7</v>
      </c>
      <c r="AB9" s="5">
        <v>481.9</v>
      </c>
      <c r="AC9" s="5">
        <v>451.8</v>
      </c>
      <c r="AD9" s="5">
        <v>511.7</v>
      </c>
      <c r="AE9" s="5">
        <v>386.5</v>
      </c>
      <c r="AF9" s="5">
        <v>348.2</v>
      </c>
      <c r="AG9" s="5">
        <v>360.4</v>
      </c>
      <c r="AH9" s="5">
        <v>419.1</v>
      </c>
      <c r="AI9" s="5">
        <v>370.3</v>
      </c>
      <c r="AJ9" s="13">
        <v>378.9</v>
      </c>
      <c r="AK9" s="13">
        <v>421.5</v>
      </c>
      <c r="AL9" s="13">
        <v>538.9</v>
      </c>
      <c r="AM9" s="13">
        <v>452.2</v>
      </c>
      <c r="AN9" s="13">
        <v>387.5</v>
      </c>
      <c r="AO9" s="13">
        <v>387.9</v>
      </c>
      <c r="AP9" s="13">
        <f>453.4+0.2</f>
        <v>453.59999999999997</v>
      </c>
      <c r="AQ9" s="13">
        <v>345.7</v>
      </c>
      <c r="AR9" s="13">
        <v>322.5</v>
      </c>
      <c r="AS9" s="13">
        <v>296.5</v>
      </c>
      <c r="AT9" s="13">
        <f>359.2</f>
        <v>359.2</v>
      </c>
      <c r="AU9" s="13">
        <v>295.10000000000002</v>
      </c>
      <c r="AV9" s="13">
        <v>270.8</v>
      </c>
      <c r="AW9" s="13">
        <v>282</v>
      </c>
      <c r="AX9" s="13">
        <v>282.5</v>
      </c>
      <c r="AY9" s="13">
        <f>AU9*0.8</f>
        <v>236.08000000000004</v>
      </c>
      <c r="AZ9" s="13">
        <f t="shared" ref="AZ9:BA9" si="15">AV9*0.8</f>
        <v>216.64000000000001</v>
      </c>
      <c r="BA9" s="13">
        <f t="shared" si="15"/>
        <v>225.60000000000002</v>
      </c>
      <c r="BB9" s="13">
        <f>AX9*0.9</f>
        <v>254.25</v>
      </c>
      <c r="BD9" s="5">
        <f>SUM(C9:F9)</f>
        <v>1892.4</v>
      </c>
      <c r="BE9" s="5">
        <f>SUM(G9:J9)</f>
        <v>2001</v>
      </c>
      <c r="BF9" s="5">
        <f>SUM(K9:N9)</f>
        <v>2109.5</v>
      </c>
      <c r="BG9" s="5">
        <f>SUM(O9:R9)</f>
        <v>2252.5999999999995</v>
      </c>
      <c r="BH9" s="5">
        <f>SUM(S9:V9)</f>
        <v>2363</v>
      </c>
      <c r="BI9" s="5">
        <f>SUM(W9:Z9)</f>
        <v>2124.5</v>
      </c>
      <c r="BJ9" s="5">
        <f>SUM(AA9:AD9)</f>
        <v>1899.1</v>
      </c>
      <c r="BK9" s="5">
        <f>SUM(AE9:AH9)</f>
        <v>1514.1999999999998</v>
      </c>
      <c r="BL9" s="5">
        <f>SUM(AI9:AL9)</f>
        <v>1709.6</v>
      </c>
      <c r="BM9" s="5">
        <f>SUM(AM9:AP9)</f>
        <v>1681.1999999999998</v>
      </c>
      <c r="BN9" s="5">
        <f>SUM(AQ9:AT9)</f>
        <v>1323.9</v>
      </c>
      <c r="BO9" s="5">
        <f>SUM(AU9:AX9)</f>
        <v>1130.4000000000001</v>
      </c>
      <c r="BP9" s="5">
        <f>SUM(AY9:BB9)</f>
        <v>932.57</v>
      </c>
      <c r="BQ9" s="13">
        <f t="shared" ref="BQ9:BU9" si="16">BQ6*0.25</f>
        <v>880.59121000000005</v>
      </c>
      <c r="BR9" s="13">
        <f t="shared" si="16"/>
        <v>902.22881329999996</v>
      </c>
      <c r="BS9" s="13">
        <f t="shared" si="16"/>
        <v>920.24567349699998</v>
      </c>
      <c r="BT9" s="13">
        <f t="shared" si="16"/>
        <v>936.40770281284995</v>
      </c>
      <c r="BU9" s="13">
        <f t="shared" si="16"/>
        <v>952.91755380330005</v>
      </c>
      <c r="BV9" s="13">
        <f t="shared" ref="BV9:BZ9" si="17">BV6*0.25</f>
        <v>964.94037106884718</v>
      </c>
      <c r="BW9" s="13">
        <f t="shared" si="17"/>
        <v>977.13328934160006</v>
      </c>
      <c r="BX9" s="13">
        <f t="shared" si="17"/>
        <v>989.49900708832172</v>
      </c>
      <c r="BY9" s="13">
        <f t="shared" si="17"/>
        <v>1002.0402697095767</v>
      </c>
      <c r="BZ9" s="13">
        <f t="shared" si="17"/>
        <v>1014.7598704080516</v>
      </c>
    </row>
    <row r="10" spans="2:182" x14ac:dyDescent="0.3">
      <c r="B10" t="s">
        <v>46</v>
      </c>
      <c r="C10" s="5">
        <v>41.9</v>
      </c>
      <c r="D10" s="5">
        <v>41</v>
      </c>
      <c r="E10" s="5">
        <v>40.799999999999997</v>
      </c>
      <c r="F10" s="5">
        <f>42.8+10.2+18.5</f>
        <v>71.5</v>
      </c>
      <c r="G10" s="5">
        <v>39.5</v>
      </c>
      <c r="H10" s="5">
        <v>38.799999999999997</v>
      </c>
      <c r="I10" s="5">
        <v>38.1</v>
      </c>
      <c r="J10" s="5">
        <f>38+2.2</f>
        <v>40.200000000000003</v>
      </c>
      <c r="K10" s="5">
        <v>35.799999999999997</v>
      </c>
      <c r="L10" s="5">
        <v>38</v>
      </c>
      <c r="M10" s="5">
        <v>39.4</v>
      </c>
      <c r="N10" s="5">
        <f>43.4+4</f>
        <v>47.4</v>
      </c>
      <c r="O10" s="5">
        <v>40.700000000000003</v>
      </c>
      <c r="P10" s="5">
        <v>41</v>
      </c>
      <c r="Q10" s="5">
        <v>42.3</v>
      </c>
      <c r="R10" s="5">
        <f>41.2+33.8</f>
        <v>75</v>
      </c>
      <c r="S10" s="5">
        <v>37.9</v>
      </c>
      <c r="T10" s="5">
        <v>37.700000000000003</v>
      </c>
      <c r="U10" s="5">
        <v>36.700000000000003</v>
      </c>
      <c r="V10" s="5">
        <f>38.4+32.8+358</f>
        <v>429.2</v>
      </c>
      <c r="W10" s="5">
        <v>34.1</v>
      </c>
      <c r="X10" s="5">
        <v>32.200000000000003</v>
      </c>
      <c r="Y10" s="5">
        <f>25+557.3+302-18.3</f>
        <v>866</v>
      </c>
      <c r="Z10" s="5">
        <f>413.4-80.8</f>
        <v>332.59999999999997</v>
      </c>
      <c r="AA10" s="5">
        <f>0.7</f>
        <v>0.7</v>
      </c>
      <c r="AB10" s="5">
        <f>363.9+1.7</f>
        <v>365.59999999999997</v>
      </c>
      <c r="AC10" s="5">
        <f>23.6+11.3+0.2</f>
        <v>35.100000000000009</v>
      </c>
      <c r="AD10" s="5">
        <f>10.4+3.9</f>
        <v>14.3</v>
      </c>
      <c r="AE10" s="5">
        <f>3.9+0.6</f>
        <v>4.5</v>
      </c>
      <c r="AF10" s="5">
        <f>0.9-11.3+0.3</f>
        <v>-10.1</v>
      </c>
      <c r="AG10" s="5">
        <v>-21.1</v>
      </c>
      <c r="AH10" s="5">
        <v>10.7</v>
      </c>
      <c r="AI10" s="5">
        <v>0.6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2.7</v>
      </c>
      <c r="AQ10" s="13">
        <v>0</v>
      </c>
      <c r="AR10" s="13">
        <v>0</v>
      </c>
      <c r="AS10" s="13">
        <v>0</v>
      </c>
      <c r="AT10" s="13">
        <v>4.8</v>
      </c>
      <c r="AU10" s="13">
        <v>0</v>
      </c>
      <c r="AV10" s="13">
        <v>0</v>
      </c>
      <c r="AW10" s="13">
        <v>8.6</v>
      </c>
      <c r="AX10" s="13">
        <v>1.1000000000000001</v>
      </c>
      <c r="AY10" s="13">
        <v>10</v>
      </c>
      <c r="AZ10" s="13">
        <v>5</v>
      </c>
      <c r="BA10" s="13">
        <v>3</v>
      </c>
      <c r="BB10" s="13">
        <v>2</v>
      </c>
      <c r="BD10" s="5">
        <f>SUM(C10:F10)</f>
        <v>195.2</v>
      </c>
      <c r="BE10" s="5">
        <f>SUM(G10:J10)</f>
        <v>156.60000000000002</v>
      </c>
      <c r="BF10" s="5">
        <f>SUM(K10:N10)</f>
        <v>160.6</v>
      </c>
      <c r="BG10" s="5">
        <f>SUM(O10:R10)</f>
        <v>199</v>
      </c>
      <c r="BH10" s="5">
        <f>SUM(S10:V10)</f>
        <v>541.5</v>
      </c>
      <c r="BI10" s="5">
        <f>SUM(W10:Z10)</f>
        <v>1264.8999999999999</v>
      </c>
      <c r="BJ10" s="5">
        <f>SUM(AA10:AD10)</f>
        <v>415.7</v>
      </c>
      <c r="BK10" s="5">
        <f>SUM(AE10:AH10)</f>
        <v>-16.000000000000004</v>
      </c>
      <c r="BL10" s="19">
        <f>SUM(AI10:AL10)</f>
        <v>0.6</v>
      </c>
      <c r="BM10" s="5">
        <f>SUM(AM10:AP10)</f>
        <v>2.7</v>
      </c>
      <c r="BN10" s="5">
        <f>SUM(AQ10:AT10)</f>
        <v>4.8</v>
      </c>
      <c r="BO10" s="5">
        <f>SUM(AU10:AX10)</f>
        <v>9.6999999999999993</v>
      </c>
      <c r="BP10" s="5">
        <f>SUM(AY10:BB10)</f>
        <v>20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  <c r="BV10" s="5">
        <v>0</v>
      </c>
      <c r="BW10" s="5">
        <v>0</v>
      </c>
      <c r="BX10" s="5">
        <v>0</v>
      </c>
      <c r="BY10" s="5">
        <v>0</v>
      </c>
      <c r="BZ10" s="5">
        <v>0</v>
      </c>
    </row>
    <row r="11" spans="2:182" s="1" customFormat="1" x14ac:dyDescent="0.3">
      <c r="B11" s="1" t="s">
        <v>47</v>
      </c>
      <c r="C11" s="10">
        <f t="shared" ref="C11:BB11" si="18">C8-C9-C10</f>
        <v>87.19999999999996</v>
      </c>
      <c r="D11" s="10">
        <f t="shared" si="18"/>
        <v>18.800000000000068</v>
      </c>
      <c r="E11" s="10">
        <f t="shared" si="18"/>
        <v>109.09999999999987</v>
      </c>
      <c r="F11" s="10">
        <f t="shared" si="18"/>
        <v>358.4</v>
      </c>
      <c r="G11" s="10">
        <f t="shared" si="18"/>
        <v>105.89999999999986</v>
      </c>
      <c r="H11" s="10">
        <f t="shared" si="18"/>
        <v>36.700000000000117</v>
      </c>
      <c r="I11" s="10">
        <f t="shared" si="18"/>
        <v>89.799999999999812</v>
      </c>
      <c r="J11" s="10">
        <f t="shared" si="18"/>
        <v>385.90000000000015</v>
      </c>
      <c r="K11" s="10">
        <f t="shared" si="18"/>
        <v>123.89999999999999</v>
      </c>
      <c r="L11" s="10">
        <f t="shared" si="18"/>
        <v>51.699999999999989</v>
      </c>
      <c r="M11" s="10">
        <f t="shared" si="18"/>
        <v>90.699999999999903</v>
      </c>
      <c r="N11" s="10">
        <f t="shared" si="18"/>
        <v>381.89999999999986</v>
      </c>
      <c r="O11" s="10">
        <f t="shared" si="18"/>
        <v>114.00000000000004</v>
      </c>
      <c r="P11" s="10">
        <f t="shared" si="18"/>
        <v>58.299999999999955</v>
      </c>
      <c r="Q11" s="10">
        <f t="shared" si="18"/>
        <v>98.800000000000026</v>
      </c>
      <c r="R11" s="10">
        <f t="shared" si="18"/>
        <v>286.60000000000014</v>
      </c>
      <c r="S11" s="10">
        <f t="shared" si="18"/>
        <v>101.1</v>
      </c>
      <c r="T11" s="10">
        <f t="shared" si="18"/>
        <v>43.599999999999838</v>
      </c>
      <c r="U11" s="10">
        <f t="shared" si="18"/>
        <v>87.599999999999838</v>
      </c>
      <c r="V11" s="10">
        <f t="shared" si="18"/>
        <v>-96.699999999999989</v>
      </c>
      <c r="W11" s="10">
        <f t="shared" si="18"/>
        <v>57.09999999999993</v>
      </c>
      <c r="X11" s="10">
        <f t="shared" si="18"/>
        <v>21.600000000000179</v>
      </c>
      <c r="Y11" s="10">
        <f t="shared" si="18"/>
        <v>-771.4</v>
      </c>
      <c r="Z11" s="10">
        <f t="shared" si="18"/>
        <v>-136.29999999999978</v>
      </c>
      <c r="AA11" s="10">
        <f t="shared" si="18"/>
        <v>16.800000000000058</v>
      </c>
      <c r="AB11" s="10">
        <f t="shared" si="18"/>
        <v>-448.39999999999992</v>
      </c>
      <c r="AC11" s="10">
        <f t="shared" si="18"/>
        <v>-45.8</v>
      </c>
      <c r="AD11" s="10">
        <f t="shared" si="18"/>
        <v>71.299999999999969</v>
      </c>
      <c r="AE11" s="10">
        <f t="shared" si="18"/>
        <v>-108.60000000000002</v>
      </c>
      <c r="AF11" s="10">
        <f t="shared" si="18"/>
        <v>-85.899999999999949</v>
      </c>
      <c r="AG11" s="10">
        <f t="shared" si="18"/>
        <v>-62.999999999999908</v>
      </c>
      <c r="AH11" s="10">
        <f t="shared" si="18"/>
        <v>18.799999999999887</v>
      </c>
      <c r="AI11" s="10">
        <f t="shared" si="18"/>
        <v>-40.800000000000104</v>
      </c>
      <c r="AJ11" s="10">
        <f t="shared" si="18"/>
        <v>-57.999999999999886</v>
      </c>
      <c r="AK11" s="10">
        <f t="shared" si="18"/>
        <v>-102.89999999999986</v>
      </c>
      <c r="AL11" s="10">
        <f t="shared" si="18"/>
        <v>-160.69999999999993</v>
      </c>
      <c r="AM11" s="10">
        <f t="shared" si="18"/>
        <v>-153.69999999999999</v>
      </c>
      <c r="AN11" s="10">
        <f t="shared" si="18"/>
        <v>-105.29999999999995</v>
      </c>
      <c r="AO11" s="10">
        <f t="shared" si="18"/>
        <v>-96.699999999999932</v>
      </c>
      <c r="AP11" s="10">
        <f t="shared" si="18"/>
        <v>43.500000000000213</v>
      </c>
      <c r="AQ11" s="10">
        <f t="shared" si="18"/>
        <v>-58.400000000000034</v>
      </c>
      <c r="AR11" s="10">
        <f t="shared" si="18"/>
        <v>-16.600000000000023</v>
      </c>
      <c r="AS11" s="10">
        <f t="shared" si="18"/>
        <v>-14.700000000000045</v>
      </c>
      <c r="AT11" s="10">
        <f t="shared" si="18"/>
        <v>55.199999999999832</v>
      </c>
      <c r="AU11" s="10">
        <f t="shared" si="18"/>
        <v>-50.600000000000023</v>
      </c>
      <c r="AV11" s="10">
        <f t="shared" si="18"/>
        <v>-22.000000000000057</v>
      </c>
      <c r="AW11" s="10">
        <f t="shared" si="18"/>
        <v>-33.399999999999956</v>
      </c>
      <c r="AX11" s="10">
        <f t="shared" si="18"/>
        <v>79.799999999999869</v>
      </c>
      <c r="AY11" s="10">
        <f t="shared" si="18"/>
        <v>-32.893600000000021</v>
      </c>
      <c r="AZ11" s="10">
        <f t="shared" si="18"/>
        <v>-10.697400000000016</v>
      </c>
      <c r="BA11" s="10">
        <f t="shared" si="18"/>
        <v>3.608999999999952</v>
      </c>
      <c r="BB11" s="10">
        <f t="shared" si="18"/>
        <v>82.118800000000022</v>
      </c>
      <c r="BD11" s="10">
        <f t="shared" ref="BD11:BU11" si="19">BD8-BD9-BD10</f>
        <v>573.49999999999932</v>
      </c>
      <c r="BE11" s="10">
        <f t="shared" si="19"/>
        <v>618.29999999999961</v>
      </c>
      <c r="BF11" s="10">
        <f t="shared" si="19"/>
        <v>648.19999999999925</v>
      </c>
      <c r="BG11" s="10">
        <f t="shared" si="19"/>
        <v>557.69999999999982</v>
      </c>
      <c r="BH11" s="10">
        <f t="shared" si="19"/>
        <v>135.60000000000036</v>
      </c>
      <c r="BI11" s="10">
        <f t="shared" si="19"/>
        <v>-828.99999999999932</v>
      </c>
      <c r="BJ11" s="10">
        <f t="shared" si="19"/>
        <v>-406.10000000000008</v>
      </c>
      <c r="BK11" s="10">
        <f t="shared" si="19"/>
        <v>-238.70000000000073</v>
      </c>
      <c r="BL11" s="10">
        <f t="shared" si="19"/>
        <v>-362.39999999999884</v>
      </c>
      <c r="BM11" s="10">
        <f t="shared" si="19"/>
        <v>-312.2</v>
      </c>
      <c r="BN11" s="10">
        <f t="shared" si="19"/>
        <v>-34.500000000000725</v>
      </c>
      <c r="BO11" s="10">
        <f t="shared" si="19"/>
        <v>-26.200000000000454</v>
      </c>
      <c r="BP11" s="10">
        <f t="shared" si="19"/>
        <v>42.13679999999988</v>
      </c>
      <c r="BQ11" s="10">
        <f t="shared" si="19"/>
        <v>211.34189040000001</v>
      </c>
      <c r="BR11" s="10">
        <f t="shared" si="19"/>
        <v>252.62406772399959</v>
      </c>
      <c r="BS11" s="10">
        <f t="shared" si="19"/>
        <v>257.66878857915992</v>
      </c>
      <c r="BT11" s="10">
        <f t="shared" si="19"/>
        <v>262.19415678759788</v>
      </c>
      <c r="BU11" s="10">
        <f t="shared" si="19"/>
        <v>266.81691506492371</v>
      </c>
      <c r="BV11" s="10">
        <f t="shared" ref="BV11:BZ11" si="20">BV8-BV9-BV10</f>
        <v>270.18330389927712</v>
      </c>
      <c r="BW11" s="10">
        <f t="shared" si="20"/>
        <v>273.59732101564771</v>
      </c>
      <c r="BX11" s="10">
        <f t="shared" si="20"/>
        <v>277.05972198472966</v>
      </c>
      <c r="BY11" s="10">
        <f t="shared" si="20"/>
        <v>280.5712755186812</v>
      </c>
      <c r="BZ11" s="10">
        <f t="shared" si="20"/>
        <v>284.13276371425434</v>
      </c>
    </row>
    <row r="12" spans="2:182" x14ac:dyDescent="0.3">
      <c r="B12" t="s">
        <v>90</v>
      </c>
      <c r="C12" s="5">
        <f>-0.1+1</f>
        <v>0.9</v>
      </c>
      <c r="D12" s="5">
        <f>-0.1+1.4</f>
        <v>1.2999999999999998</v>
      </c>
      <c r="E12" s="5">
        <f>-0.3+1</f>
        <v>0.7</v>
      </c>
      <c r="F12" s="5">
        <v>1.8</v>
      </c>
      <c r="G12" s="5">
        <f>-0.2+0.8</f>
        <v>0.60000000000000009</v>
      </c>
      <c r="H12" s="5">
        <f>-0.1+1.2</f>
        <v>1.0999999999999999</v>
      </c>
      <c r="I12" s="5">
        <f>-0.1+3.2</f>
        <v>3.1</v>
      </c>
      <c r="J12" s="5">
        <v>5.2</v>
      </c>
      <c r="K12" s="5">
        <f>-0.2+5.6</f>
        <v>5.3999999999999995</v>
      </c>
      <c r="L12" s="5">
        <f>-0.1+5.7</f>
        <v>5.6000000000000005</v>
      </c>
      <c r="M12" s="5">
        <v>6.5</v>
      </c>
      <c r="N12" s="5">
        <v>5.5</v>
      </c>
      <c r="O12" s="5">
        <f>-0.2+11</f>
        <v>10.8</v>
      </c>
      <c r="P12" s="5">
        <f>-0.3+13.9</f>
        <v>13.6</v>
      </c>
      <c r="Q12" s="5">
        <v>14.8</v>
      </c>
      <c r="R12" s="5">
        <v>13.8</v>
      </c>
      <c r="S12" s="5">
        <f>-0.2+14.1</f>
        <v>13.9</v>
      </c>
      <c r="T12" s="5">
        <v>14.4</v>
      </c>
      <c r="U12" s="5">
        <f>-0.2+14.1</f>
        <v>13.9</v>
      </c>
      <c r="V12" s="5">
        <v>13.1</v>
      </c>
      <c r="W12" s="5">
        <f>-0.5+14.2</f>
        <v>13.7</v>
      </c>
      <c r="X12" s="5">
        <f>-0.5+14.4</f>
        <v>13.9</v>
      </c>
      <c r="Y12" s="5">
        <v>-24</v>
      </c>
      <c r="Z12" s="5">
        <v>10.5</v>
      </c>
      <c r="AA12" s="5">
        <f>-5.3+13</f>
        <v>7.7</v>
      </c>
      <c r="AB12" s="5">
        <f>-2.6+9.6</f>
        <v>7</v>
      </c>
      <c r="AC12" s="5">
        <f>-2+8</f>
        <v>6</v>
      </c>
      <c r="AD12" s="5">
        <v>6.5</v>
      </c>
      <c r="AE12" s="5">
        <f>-0.9+7.6</f>
        <v>6.6999999999999993</v>
      </c>
      <c r="AF12" s="5">
        <f>-0.4+7.9</f>
        <v>7.5</v>
      </c>
      <c r="AG12" s="5">
        <v>9.6999999999999993</v>
      </c>
      <c r="AH12" s="5">
        <v>8.1999999999999993</v>
      </c>
      <c r="AI12" s="5">
        <f>-0.1+24.8</f>
        <v>24.7</v>
      </c>
      <c r="AJ12" s="13">
        <v>-0.5</v>
      </c>
      <c r="AK12" s="13">
        <v>-0.8</v>
      </c>
      <c r="AL12" s="13">
        <v>-0.9</v>
      </c>
      <c r="AM12" s="13">
        <v>-0.7</v>
      </c>
      <c r="AN12" s="13">
        <v>0.3</v>
      </c>
      <c r="AO12" s="13">
        <v>3.7</v>
      </c>
      <c r="AP12" s="13">
        <v>6.2</v>
      </c>
      <c r="AQ12" s="13">
        <f>9.7-1.9</f>
        <v>7.7999999999999989</v>
      </c>
      <c r="AR12" s="13">
        <f>11.6+2</f>
        <v>13.6</v>
      </c>
      <c r="AS12" s="13">
        <f>12.9-2.5</f>
        <v>10.4</v>
      </c>
      <c r="AT12" s="13">
        <f>15.3+0.5</f>
        <v>15.8</v>
      </c>
      <c r="AU12" s="13">
        <v>14.9</v>
      </c>
      <c r="AV12" s="13">
        <v>39.5</v>
      </c>
      <c r="AW12" s="13">
        <v>54.2</v>
      </c>
      <c r="AX12" s="13">
        <v>54.8</v>
      </c>
      <c r="AY12" s="13">
        <v>55</v>
      </c>
      <c r="AZ12" s="13">
        <v>55</v>
      </c>
      <c r="BA12" s="13">
        <v>55</v>
      </c>
      <c r="BB12" s="13">
        <v>55</v>
      </c>
      <c r="BD12" s="5">
        <f>SUM(C12:F12)</f>
        <v>4.6999999999999993</v>
      </c>
      <c r="BE12" s="5">
        <f>SUM(G12:J12)</f>
        <v>10</v>
      </c>
      <c r="BF12" s="5">
        <f>SUM(K12:N12)</f>
        <v>23</v>
      </c>
      <c r="BG12" s="5">
        <f>SUM(O12:R12)</f>
        <v>53</v>
      </c>
      <c r="BH12" s="5">
        <f>SUM(S12:V12)</f>
        <v>55.300000000000004</v>
      </c>
      <c r="BI12" s="5">
        <f>SUM(W12:Z12)</f>
        <v>14.100000000000001</v>
      </c>
      <c r="BJ12" s="5">
        <f>SUM(AA12:AD12)</f>
        <v>27.2</v>
      </c>
      <c r="BK12" s="5">
        <f>SUM(AE12:AH12)</f>
        <v>32.099999999999994</v>
      </c>
      <c r="BL12" s="19">
        <f>SUM(AI12:AL12)</f>
        <v>22.5</v>
      </c>
      <c r="BM12" s="5">
        <f>SUM(AM12:AP12)</f>
        <v>9.5</v>
      </c>
      <c r="BN12" s="5">
        <f>SUM(AQ12:AT12)</f>
        <v>47.599999999999994</v>
      </c>
      <c r="BO12" s="5">
        <f>SUM(AU12:AX12)</f>
        <v>163.39999999999998</v>
      </c>
      <c r="BP12" s="5">
        <f>SUM(AY12:BB12)</f>
        <v>220</v>
      </c>
      <c r="BQ12" s="13">
        <f>BP12*1.03</f>
        <v>226.6</v>
      </c>
      <c r="BR12" s="13">
        <f t="shared" ref="BR12:BZ12" si="21">BQ12*1.03</f>
        <v>233.398</v>
      </c>
      <c r="BS12" s="13">
        <f t="shared" si="21"/>
        <v>240.39994000000002</v>
      </c>
      <c r="BT12" s="13">
        <f t="shared" si="21"/>
        <v>247.61193820000003</v>
      </c>
      <c r="BU12" s="13">
        <f t="shared" si="21"/>
        <v>255.04029634600002</v>
      </c>
      <c r="BV12" s="13">
        <f t="shared" si="21"/>
        <v>262.69150523638001</v>
      </c>
      <c r="BW12" s="13">
        <f t="shared" si="21"/>
        <v>270.57225039347139</v>
      </c>
      <c r="BX12" s="13">
        <f t="shared" si="21"/>
        <v>278.68941790527555</v>
      </c>
      <c r="BY12" s="13">
        <f t="shared" si="21"/>
        <v>287.0501004424338</v>
      </c>
      <c r="BZ12" s="13">
        <f t="shared" si="21"/>
        <v>295.66160345570682</v>
      </c>
    </row>
    <row r="13" spans="2:182" s="1" customFormat="1" x14ac:dyDescent="0.3">
      <c r="B13" s="1" t="s">
        <v>48</v>
      </c>
      <c r="C13" s="10">
        <f t="shared" ref="C13:AF13" si="22">C11-C12</f>
        <v>86.299999999999955</v>
      </c>
      <c r="D13" s="10">
        <f t="shared" si="22"/>
        <v>17.500000000000068</v>
      </c>
      <c r="E13" s="10">
        <f t="shared" si="22"/>
        <v>108.39999999999986</v>
      </c>
      <c r="F13" s="10">
        <f t="shared" si="22"/>
        <v>356.59999999999997</v>
      </c>
      <c r="G13" s="10">
        <f t="shared" si="22"/>
        <v>105.29999999999987</v>
      </c>
      <c r="H13" s="10">
        <f t="shared" si="22"/>
        <v>35.600000000000115</v>
      </c>
      <c r="I13" s="10">
        <f t="shared" si="22"/>
        <v>86.699999999999818</v>
      </c>
      <c r="J13" s="10">
        <f t="shared" si="22"/>
        <v>380.70000000000016</v>
      </c>
      <c r="K13" s="10">
        <f t="shared" si="22"/>
        <v>118.49999999999999</v>
      </c>
      <c r="L13" s="10">
        <f t="shared" si="22"/>
        <v>46.099999999999987</v>
      </c>
      <c r="M13" s="10">
        <f t="shared" si="22"/>
        <v>84.199999999999903</v>
      </c>
      <c r="N13" s="10">
        <f t="shared" si="22"/>
        <v>376.39999999999986</v>
      </c>
      <c r="O13" s="10">
        <f t="shared" si="22"/>
        <v>103.20000000000005</v>
      </c>
      <c r="P13" s="10">
        <f t="shared" si="22"/>
        <v>44.699999999999953</v>
      </c>
      <c r="Q13" s="10">
        <f t="shared" si="22"/>
        <v>84.000000000000028</v>
      </c>
      <c r="R13" s="10">
        <f t="shared" si="22"/>
        <v>272.80000000000013</v>
      </c>
      <c r="S13" s="10">
        <f t="shared" si="22"/>
        <v>87.199999999999989</v>
      </c>
      <c r="T13" s="10">
        <f t="shared" si="22"/>
        <v>29.199999999999839</v>
      </c>
      <c r="U13" s="10">
        <f t="shared" si="22"/>
        <v>73.699999999999832</v>
      </c>
      <c r="V13" s="10">
        <f t="shared" si="22"/>
        <v>-109.79999999999998</v>
      </c>
      <c r="W13" s="10">
        <f t="shared" si="22"/>
        <v>43.399999999999935</v>
      </c>
      <c r="X13" s="10">
        <f t="shared" si="22"/>
        <v>7.7000000000001787</v>
      </c>
      <c r="Y13" s="10">
        <f t="shared" si="22"/>
        <v>-747.4</v>
      </c>
      <c r="Z13" s="10">
        <f t="shared" si="22"/>
        <v>-146.79999999999978</v>
      </c>
      <c r="AA13" s="10">
        <f t="shared" si="22"/>
        <v>9.1000000000000583</v>
      </c>
      <c r="AB13" s="10">
        <f t="shared" si="22"/>
        <v>-455.39999999999992</v>
      </c>
      <c r="AC13" s="10">
        <f t="shared" si="22"/>
        <v>-51.8</v>
      </c>
      <c r="AD13" s="10">
        <f t="shared" si="22"/>
        <v>64.799999999999969</v>
      </c>
      <c r="AE13" s="10">
        <f t="shared" si="22"/>
        <v>-115.30000000000003</v>
      </c>
      <c r="AF13" s="10">
        <f t="shared" si="22"/>
        <v>-93.399999999999949</v>
      </c>
      <c r="AG13" s="10">
        <f t="shared" ref="AG13:AH13" si="23">AG11-AG12</f>
        <v>-72.699999999999903</v>
      </c>
      <c r="AH13" s="10">
        <f t="shared" si="23"/>
        <v>10.599999999999888</v>
      </c>
      <c r="AI13" s="10">
        <f t="shared" ref="AI13" si="24">AI11-AI12</f>
        <v>-65.500000000000099</v>
      </c>
      <c r="AJ13" s="16">
        <f t="shared" ref="AJ13:AK13" si="25">AJ11+AJ12</f>
        <v>-58.499999999999886</v>
      </c>
      <c r="AK13" s="16">
        <f t="shared" si="25"/>
        <v>-103.69999999999986</v>
      </c>
      <c r="AL13" s="16">
        <f>AL11+AL12</f>
        <v>-161.59999999999994</v>
      </c>
      <c r="AM13" s="16">
        <f>AM11+AM12</f>
        <v>-154.39999999999998</v>
      </c>
      <c r="AN13" s="16">
        <f t="shared" ref="AN13:AP13" si="26">AN11+AN12</f>
        <v>-104.99999999999996</v>
      </c>
      <c r="AO13" s="16">
        <f t="shared" si="26"/>
        <v>-92.999999999999929</v>
      </c>
      <c r="AP13" s="16">
        <f t="shared" si="26"/>
        <v>49.700000000000216</v>
      </c>
      <c r="AQ13" s="16">
        <f>AQ11+AQ12</f>
        <v>-50.600000000000037</v>
      </c>
      <c r="AR13" s="16">
        <f t="shared" ref="AR13:BB13" si="27">AR11+AR12</f>
        <v>-3.0000000000000231</v>
      </c>
      <c r="AS13" s="16">
        <f t="shared" si="27"/>
        <v>-4.3000000000000451</v>
      </c>
      <c r="AT13" s="16">
        <f t="shared" si="27"/>
        <v>70.999999999999829</v>
      </c>
      <c r="AU13" s="16">
        <f t="shared" si="27"/>
        <v>-35.700000000000024</v>
      </c>
      <c r="AV13" s="16">
        <f t="shared" si="27"/>
        <v>17.499999999999943</v>
      </c>
      <c r="AW13" s="16">
        <f t="shared" si="27"/>
        <v>20.800000000000047</v>
      </c>
      <c r="AX13" s="16">
        <f t="shared" si="27"/>
        <v>134.59999999999985</v>
      </c>
      <c r="AY13" s="16">
        <f t="shared" si="27"/>
        <v>22.106399999999979</v>
      </c>
      <c r="AZ13" s="16">
        <f t="shared" si="27"/>
        <v>44.302599999999984</v>
      </c>
      <c r="BA13" s="16">
        <f t="shared" si="27"/>
        <v>58.608999999999952</v>
      </c>
      <c r="BB13" s="16">
        <f t="shared" si="27"/>
        <v>137.11880000000002</v>
      </c>
      <c r="BD13" s="10">
        <f t="shared" ref="BD13:BL13" si="28">BD11-BD12</f>
        <v>568.79999999999927</v>
      </c>
      <c r="BE13" s="10">
        <f t="shared" si="28"/>
        <v>608.29999999999961</v>
      </c>
      <c r="BF13" s="10">
        <f t="shared" si="28"/>
        <v>625.19999999999925</v>
      </c>
      <c r="BG13" s="10">
        <f t="shared" si="28"/>
        <v>504.69999999999982</v>
      </c>
      <c r="BH13" s="10">
        <f t="shared" si="28"/>
        <v>80.300000000000352</v>
      </c>
      <c r="BI13" s="10">
        <f t="shared" si="28"/>
        <v>-843.09999999999934</v>
      </c>
      <c r="BJ13" s="10">
        <f t="shared" si="28"/>
        <v>-433.30000000000007</v>
      </c>
      <c r="BK13" s="10">
        <f t="shared" si="28"/>
        <v>-270.80000000000075</v>
      </c>
      <c r="BL13" s="10">
        <f t="shared" si="28"/>
        <v>-384.89999999999884</v>
      </c>
      <c r="BM13" s="16">
        <f t="shared" ref="BM13:BZ13" si="29">BM11+BM12</f>
        <v>-302.7</v>
      </c>
      <c r="BN13" s="16">
        <f t="shared" si="29"/>
        <v>13.09999999999927</v>
      </c>
      <c r="BO13" s="16">
        <f t="shared" si="29"/>
        <v>137.19999999999953</v>
      </c>
      <c r="BP13" s="16">
        <f t="shared" si="29"/>
        <v>262.13679999999988</v>
      </c>
      <c r="BQ13" s="16">
        <f t="shared" si="29"/>
        <v>437.94189040000003</v>
      </c>
      <c r="BR13" s="16">
        <f t="shared" si="29"/>
        <v>486.02206772399961</v>
      </c>
      <c r="BS13" s="16">
        <f t="shared" si="29"/>
        <v>498.06872857915994</v>
      </c>
      <c r="BT13" s="16">
        <f t="shared" si="29"/>
        <v>509.80609498759793</v>
      </c>
      <c r="BU13" s="16">
        <f t="shared" si="29"/>
        <v>521.8572114109237</v>
      </c>
      <c r="BV13" s="16">
        <f t="shared" si="29"/>
        <v>532.87480913565719</v>
      </c>
      <c r="BW13" s="16">
        <f t="shared" si="29"/>
        <v>544.16957140911904</v>
      </c>
      <c r="BX13" s="16">
        <f t="shared" si="29"/>
        <v>555.74913989000515</v>
      </c>
      <c r="BY13" s="16">
        <f t="shared" si="29"/>
        <v>567.62137596111506</v>
      </c>
      <c r="BZ13" s="16">
        <f t="shared" si="29"/>
        <v>579.79436716996111</v>
      </c>
    </row>
    <row r="14" spans="2:182" x14ac:dyDescent="0.3">
      <c r="B14" t="s">
        <v>49</v>
      </c>
      <c r="C14" s="5">
        <v>31.7</v>
      </c>
      <c r="D14" s="5">
        <v>7</v>
      </c>
      <c r="E14" s="5">
        <v>39.799999999999997</v>
      </c>
      <c r="F14" s="5">
        <v>136.1</v>
      </c>
      <c r="G14" s="5">
        <v>37.299999999999997</v>
      </c>
      <c r="H14" s="5">
        <v>11</v>
      </c>
      <c r="I14" s="5">
        <v>30.3</v>
      </c>
      <c r="J14" s="5">
        <v>136.6</v>
      </c>
      <c r="K14" s="5">
        <v>44.7</v>
      </c>
      <c r="L14" s="5">
        <v>20.8</v>
      </c>
      <c r="M14" s="5">
        <v>28.3</v>
      </c>
      <c r="N14" s="5">
        <v>128.6</v>
      </c>
      <c r="O14" s="5">
        <v>37.4</v>
      </c>
      <c r="P14" s="5">
        <v>16.8</v>
      </c>
      <c r="Q14" s="5">
        <v>33.200000000000003</v>
      </c>
      <c r="R14" s="5">
        <v>64.099999999999994</v>
      </c>
      <c r="S14" s="5">
        <v>28.2</v>
      </c>
      <c r="T14" s="5">
        <v>7</v>
      </c>
      <c r="U14" s="5">
        <v>14.3</v>
      </c>
      <c r="V14" s="5">
        <v>-3.9</v>
      </c>
      <c r="W14" s="5">
        <v>15.2</v>
      </c>
      <c r="X14" s="5">
        <v>32.6</v>
      </c>
      <c r="Y14" s="5">
        <v>25.9</v>
      </c>
      <c r="Z14" s="5">
        <v>25.9</v>
      </c>
      <c r="AA14" s="5">
        <v>2.2999999999999998</v>
      </c>
      <c r="AB14" s="5">
        <v>-40.1</v>
      </c>
      <c r="AC14" s="5">
        <v>31.6</v>
      </c>
      <c r="AD14" s="5">
        <v>43.8</v>
      </c>
      <c r="AE14" s="5">
        <v>50.4</v>
      </c>
      <c r="AF14" s="5">
        <v>17.899999999999999</v>
      </c>
      <c r="AG14" s="5">
        <v>-53.9</v>
      </c>
      <c r="AH14" s="5">
        <v>-69.900000000000006</v>
      </c>
      <c r="AI14" s="5">
        <v>1.3</v>
      </c>
      <c r="AJ14" s="13">
        <v>3.1</v>
      </c>
      <c r="AK14" s="13">
        <v>1.7</v>
      </c>
      <c r="AL14" s="13">
        <v>-20.2</v>
      </c>
      <c r="AM14" s="13">
        <v>3.5</v>
      </c>
      <c r="AN14" s="13">
        <v>1.2</v>
      </c>
      <c r="AO14" s="13">
        <v>2.1</v>
      </c>
      <c r="AP14" s="13">
        <v>4.2</v>
      </c>
      <c r="AQ14" s="13">
        <v>0.1</v>
      </c>
      <c r="AR14" s="13">
        <v>-0.2</v>
      </c>
      <c r="AS14" s="13">
        <v>-1.2</v>
      </c>
      <c r="AT14" s="13">
        <v>7.9</v>
      </c>
      <c r="AU14" s="13">
        <v>-3.4</v>
      </c>
      <c r="AV14" s="13">
        <v>2.7</v>
      </c>
      <c r="AW14" s="13">
        <v>3.4</v>
      </c>
      <c r="AX14" s="13">
        <v>3.3</v>
      </c>
      <c r="AY14" s="13">
        <f>AY13*0.16</f>
        <v>3.5370239999999966</v>
      </c>
      <c r="AZ14" s="13">
        <f t="shared" ref="AZ14:BB14" si="30">AZ13*0.16</f>
        <v>7.0884159999999978</v>
      </c>
      <c r="BA14" s="13">
        <f t="shared" si="30"/>
        <v>9.3774399999999929</v>
      </c>
      <c r="BB14" s="13">
        <f t="shared" si="30"/>
        <v>21.939008000000005</v>
      </c>
      <c r="BD14" s="5">
        <f>SUM(C14:F14)</f>
        <v>214.6</v>
      </c>
      <c r="BE14" s="5">
        <f>SUM(G14:J14)</f>
        <v>215.2</v>
      </c>
      <c r="BF14" s="5">
        <f>SUM(K14:N14)</f>
        <v>222.39999999999998</v>
      </c>
      <c r="BG14" s="5">
        <f>SUM(O14:R14)</f>
        <v>151.5</v>
      </c>
      <c r="BH14" s="5">
        <f>SUM(S14:V14)</f>
        <v>45.6</v>
      </c>
      <c r="BI14" s="5">
        <f>SUM(W14:Z14)</f>
        <v>99.6</v>
      </c>
      <c r="BJ14" s="5">
        <f>SUM(AA14:AD14)</f>
        <v>37.599999999999994</v>
      </c>
      <c r="BK14" s="5">
        <f>SUM(AE14:AH14)</f>
        <v>-55.500000000000007</v>
      </c>
      <c r="BL14" s="5">
        <f>SUM(AI14:AL14)</f>
        <v>-14.099999999999998</v>
      </c>
      <c r="BM14" s="5">
        <f>SUM(AM14:AP14)</f>
        <v>11</v>
      </c>
      <c r="BN14" s="5">
        <f>SUM(AQ14:AT14)</f>
        <v>6.6000000000000005</v>
      </c>
      <c r="BO14" s="5">
        <f>SUM(AU14:AX14)</f>
        <v>6</v>
      </c>
      <c r="BP14" s="5">
        <f>SUM(AY14:BB14)</f>
        <v>41.941887999999992</v>
      </c>
      <c r="BQ14" s="5">
        <f t="shared" ref="BQ14:BZ14" si="31">BQ13*0.17</f>
        <v>74.450121368000012</v>
      </c>
      <c r="BR14" s="5">
        <f t="shared" si="31"/>
        <v>82.623751513079938</v>
      </c>
      <c r="BS14" s="5">
        <f t="shared" si="31"/>
        <v>84.6716838584572</v>
      </c>
      <c r="BT14" s="5">
        <f t="shared" si="31"/>
        <v>86.66703614789165</v>
      </c>
      <c r="BU14" s="5">
        <f t="shared" si="31"/>
        <v>88.715725939857037</v>
      </c>
      <c r="BV14" s="5">
        <f t="shared" si="31"/>
        <v>90.588717553061727</v>
      </c>
      <c r="BW14" s="5">
        <f t="shared" si="31"/>
        <v>92.508827139550249</v>
      </c>
      <c r="BX14" s="5">
        <f t="shared" si="31"/>
        <v>94.477353781300877</v>
      </c>
      <c r="BY14" s="5">
        <f t="shared" si="31"/>
        <v>96.495633913389568</v>
      </c>
      <c r="BZ14" s="5">
        <f t="shared" si="31"/>
        <v>98.565042418893398</v>
      </c>
    </row>
    <row r="15" spans="2:182" s="1" customFormat="1" x14ac:dyDescent="0.3">
      <c r="B15" s="1" t="s">
        <v>50</v>
      </c>
      <c r="C15" s="10">
        <f t="shared" ref="C15:AF15" si="32">C13-C14</f>
        <v>54.599999999999952</v>
      </c>
      <c r="D15" s="10">
        <f t="shared" si="32"/>
        <v>10.500000000000068</v>
      </c>
      <c r="E15" s="10">
        <f t="shared" si="32"/>
        <v>68.599999999999866</v>
      </c>
      <c r="F15" s="10">
        <f t="shared" si="32"/>
        <v>220.49999999999997</v>
      </c>
      <c r="G15" s="10">
        <f t="shared" si="32"/>
        <v>67.999999999999872</v>
      </c>
      <c r="H15" s="10">
        <f t="shared" si="32"/>
        <v>24.600000000000115</v>
      </c>
      <c r="I15" s="10">
        <f t="shared" si="32"/>
        <v>56.399999999999821</v>
      </c>
      <c r="J15" s="10">
        <f t="shared" si="32"/>
        <v>244.10000000000016</v>
      </c>
      <c r="K15" s="10">
        <f t="shared" si="32"/>
        <v>73.799999999999983</v>
      </c>
      <c r="L15" s="10">
        <f t="shared" si="32"/>
        <v>25.299999999999986</v>
      </c>
      <c r="M15" s="10">
        <f t="shared" si="32"/>
        <v>55.899999999999906</v>
      </c>
      <c r="N15" s="10">
        <f t="shared" si="32"/>
        <v>247.79999999999987</v>
      </c>
      <c r="O15" s="10">
        <f t="shared" si="32"/>
        <v>65.80000000000004</v>
      </c>
      <c r="P15" s="10">
        <f t="shared" si="32"/>
        <v>27.899999999999952</v>
      </c>
      <c r="Q15" s="10">
        <f t="shared" si="32"/>
        <v>50.800000000000026</v>
      </c>
      <c r="R15" s="10">
        <f t="shared" si="32"/>
        <v>208.70000000000013</v>
      </c>
      <c r="S15" s="10">
        <f t="shared" si="32"/>
        <v>58.999999999999986</v>
      </c>
      <c r="T15" s="10">
        <f t="shared" si="32"/>
        <v>22.199999999999839</v>
      </c>
      <c r="U15" s="10">
        <f t="shared" si="32"/>
        <v>59.399999999999835</v>
      </c>
      <c r="V15" s="10">
        <f t="shared" si="32"/>
        <v>-105.89999999999998</v>
      </c>
      <c r="W15" s="10">
        <f t="shared" si="32"/>
        <v>28.199999999999935</v>
      </c>
      <c r="X15" s="10">
        <f t="shared" si="32"/>
        <v>-24.899999999999821</v>
      </c>
      <c r="Y15" s="10">
        <f t="shared" si="32"/>
        <v>-773.3</v>
      </c>
      <c r="Z15" s="10">
        <f t="shared" si="32"/>
        <v>-172.69999999999979</v>
      </c>
      <c r="AA15" s="10">
        <f t="shared" si="32"/>
        <v>6.8000000000000584</v>
      </c>
      <c r="AB15" s="10">
        <f t="shared" si="32"/>
        <v>-415.2999999999999</v>
      </c>
      <c r="AC15" s="10">
        <f t="shared" si="32"/>
        <v>-83.4</v>
      </c>
      <c r="AD15" s="10">
        <f t="shared" si="32"/>
        <v>20.999999999999972</v>
      </c>
      <c r="AE15" s="10">
        <f t="shared" si="32"/>
        <v>-165.70000000000002</v>
      </c>
      <c r="AF15" s="10">
        <f t="shared" si="32"/>
        <v>-111.29999999999995</v>
      </c>
      <c r="AG15" s="10">
        <f t="shared" ref="AG15:AH15" si="33">AG13-AG14</f>
        <v>-18.799999999999905</v>
      </c>
      <c r="AH15" s="10">
        <f t="shared" si="33"/>
        <v>80.499999999999886</v>
      </c>
      <c r="AI15" s="10">
        <f t="shared" ref="AI15" si="34">AI13-AI14</f>
        <v>-66.800000000000097</v>
      </c>
      <c r="AJ15" s="14">
        <f t="shared" ref="AJ15:AK15" si="35">AJ13-AJ14</f>
        <v>-61.599999999999888</v>
      </c>
      <c r="AK15" s="14">
        <f t="shared" si="35"/>
        <v>-105.39999999999986</v>
      </c>
      <c r="AL15" s="14">
        <f>AL13-AL14</f>
        <v>-141.39999999999995</v>
      </c>
      <c r="AM15" s="14">
        <f>AM13-AM14</f>
        <v>-157.89999999999998</v>
      </c>
      <c r="AN15" s="14">
        <f t="shared" ref="AN15:AP15" si="36">AN13-AN14</f>
        <v>-106.19999999999996</v>
      </c>
      <c r="AO15" s="14">
        <f t="shared" si="36"/>
        <v>-95.099999999999923</v>
      </c>
      <c r="AP15" s="14">
        <f t="shared" si="36"/>
        <v>45.500000000000213</v>
      </c>
      <c r="AQ15" s="14">
        <f>AQ13-AQ14</f>
        <v>-50.700000000000038</v>
      </c>
      <c r="AR15" s="14">
        <f t="shared" ref="AR15:AX15" si="37">AR13-AR14</f>
        <v>-2.8000000000000229</v>
      </c>
      <c r="AS15" s="14">
        <f t="shared" si="37"/>
        <v>-3.1000000000000449</v>
      </c>
      <c r="AT15" s="14">
        <f t="shared" si="37"/>
        <v>63.099999999999831</v>
      </c>
      <c r="AU15" s="14">
        <f t="shared" si="37"/>
        <v>-32.300000000000026</v>
      </c>
      <c r="AV15" s="14">
        <f t="shared" si="37"/>
        <v>14.799999999999944</v>
      </c>
      <c r="AW15" s="14">
        <f t="shared" si="37"/>
        <v>17.400000000000048</v>
      </c>
      <c r="AX15" s="14">
        <f t="shared" si="37"/>
        <v>131.29999999999984</v>
      </c>
      <c r="AY15" s="14">
        <f t="shared" ref="AY15:BB15" si="38">AY13-AY14</f>
        <v>18.569375999999984</v>
      </c>
      <c r="AZ15" s="14">
        <f t="shared" si="38"/>
        <v>37.214183999999989</v>
      </c>
      <c r="BA15" s="14">
        <f t="shared" si="38"/>
        <v>49.231559999999959</v>
      </c>
      <c r="BB15" s="14">
        <f t="shared" si="38"/>
        <v>115.17979200000002</v>
      </c>
      <c r="BD15" s="10">
        <f t="shared" ref="BD15:BL15" si="39">BD13-BD14</f>
        <v>354.19999999999925</v>
      </c>
      <c r="BE15" s="10">
        <f t="shared" si="39"/>
        <v>393.09999999999962</v>
      </c>
      <c r="BF15" s="10">
        <f t="shared" si="39"/>
        <v>402.79999999999927</v>
      </c>
      <c r="BG15" s="10">
        <f t="shared" si="39"/>
        <v>353.19999999999982</v>
      </c>
      <c r="BH15" s="10">
        <f t="shared" si="39"/>
        <v>34.700000000000351</v>
      </c>
      <c r="BI15" s="10">
        <f t="shared" si="39"/>
        <v>-942.69999999999936</v>
      </c>
      <c r="BJ15" s="10">
        <f t="shared" si="39"/>
        <v>-470.90000000000009</v>
      </c>
      <c r="BK15" s="10">
        <f t="shared" si="39"/>
        <v>-215.30000000000075</v>
      </c>
      <c r="BL15" s="10">
        <f t="shared" si="39"/>
        <v>-370.79999999999882</v>
      </c>
      <c r="BM15" s="10">
        <f t="shared" ref="BM15:BV15" si="40">BM13-BM14</f>
        <v>-313.7</v>
      </c>
      <c r="BN15" s="10">
        <f t="shared" si="40"/>
        <v>6.499999999999269</v>
      </c>
      <c r="BO15" s="10">
        <f t="shared" si="40"/>
        <v>131.19999999999953</v>
      </c>
      <c r="BP15" s="14">
        <f t="shared" si="40"/>
        <v>220.19491199999987</v>
      </c>
      <c r="BQ15" s="14">
        <f t="shared" si="40"/>
        <v>363.49176903200004</v>
      </c>
      <c r="BR15" s="14">
        <f t="shared" si="40"/>
        <v>403.39831621091969</v>
      </c>
      <c r="BS15" s="14">
        <f t="shared" si="40"/>
        <v>413.39704472070275</v>
      </c>
      <c r="BT15" s="14">
        <f t="shared" si="40"/>
        <v>423.13905883970631</v>
      </c>
      <c r="BU15" s="14">
        <f t="shared" si="40"/>
        <v>433.14148547106663</v>
      </c>
      <c r="BV15" s="14">
        <f t="shared" si="40"/>
        <v>442.28609158259547</v>
      </c>
      <c r="BW15" s="10">
        <f t="shared" ref="BW15:BZ15" si="41">BW13-BW14</f>
        <v>451.6607442695688</v>
      </c>
      <c r="BX15" s="10">
        <f t="shared" si="41"/>
        <v>461.2717861087043</v>
      </c>
      <c r="BY15" s="10">
        <f t="shared" si="41"/>
        <v>471.12574204772551</v>
      </c>
      <c r="BZ15" s="10">
        <f t="shared" si="41"/>
        <v>481.22932475106768</v>
      </c>
      <c r="CA15" s="1">
        <f>BZ15*(1+$CC$29)</f>
        <v>476.41703150355698</v>
      </c>
      <c r="CB15" s="1">
        <f t="shared" ref="CB15:EM15" si="42">CA15*(1+$CC$29)</f>
        <v>471.6528611885214</v>
      </c>
      <c r="CC15" s="1">
        <f t="shared" si="42"/>
        <v>466.93633257663618</v>
      </c>
      <c r="CD15" s="1">
        <f t="shared" si="42"/>
        <v>462.26696925086981</v>
      </c>
      <c r="CE15" s="1">
        <f t="shared" si="42"/>
        <v>457.64429955836113</v>
      </c>
      <c r="CF15" s="1">
        <f t="shared" si="42"/>
        <v>453.06785656277754</v>
      </c>
      <c r="CG15" s="1">
        <f t="shared" si="42"/>
        <v>448.53717799714974</v>
      </c>
      <c r="CH15" s="1">
        <f t="shared" si="42"/>
        <v>444.05180621717824</v>
      </c>
      <c r="CI15" s="1">
        <f t="shared" si="42"/>
        <v>439.61128815500643</v>
      </c>
      <c r="CJ15" s="1">
        <f t="shared" si="42"/>
        <v>435.21517527345634</v>
      </c>
      <c r="CK15" s="1">
        <f t="shared" si="42"/>
        <v>430.86302352072175</v>
      </c>
      <c r="CL15" s="1">
        <f t="shared" si="42"/>
        <v>426.55439328551455</v>
      </c>
      <c r="CM15" s="1">
        <f t="shared" si="42"/>
        <v>422.28884935265938</v>
      </c>
      <c r="CN15" s="1">
        <f t="shared" si="42"/>
        <v>418.06596085913276</v>
      </c>
      <c r="CO15" s="1">
        <f t="shared" si="42"/>
        <v>413.88530125054143</v>
      </c>
      <c r="CP15" s="1">
        <f t="shared" si="42"/>
        <v>409.74644823803601</v>
      </c>
      <c r="CQ15" s="1">
        <f t="shared" si="42"/>
        <v>405.64898375565565</v>
      </c>
      <c r="CR15" s="1">
        <f t="shared" si="42"/>
        <v>401.59249391809908</v>
      </c>
      <c r="CS15" s="1">
        <f t="shared" si="42"/>
        <v>397.57656897891809</v>
      </c>
      <c r="CT15" s="1">
        <f t="shared" si="42"/>
        <v>393.60080328912892</v>
      </c>
      <c r="CU15" s="1">
        <f t="shared" si="42"/>
        <v>389.66479525623765</v>
      </c>
      <c r="CV15" s="1">
        <f t="shared" si="42"/>
        <v>385.76814730367528</v>
      </c>
      <c r="CW15" s="1">
        <f t="shared" si="42"/>
        <v>381.91046583063854</v>
      </c>
      <c r="CX15" s="1">
        <f t="shared" si="42"/>
        <v>378.09136117233214</v>
      </c>
      <c r="CY15" s="1">
        <f t="shared" si="42"/>
        <v>374.31044756060879</v>
      </c>
      <c r="CZ15" s="1">
        <f t="shared" si="42"/>
        <v>370.56734308500268</v>
      </c>
      <c r="DA15" s="1">
        <f t="shared" si="42"/>
        <v>366.86166965415265</v>
      </c>
      <c r="DB15" s="1">
        <f t="shared" si="42"/>
        <v>363.19305295761114</v>
      </c>
      <c r="DC15" s="1">
        <f t="shared" si="42"/>
        <v>359.56112242803505</v>
      </c>
      <c r="DD15" s="1">
        <f t="shared" si="42"/>
        <v>355.96551120375472</v>
      </c>
      <c r="DE15" s="1">
        <f t="shared" si="42"/>
        <v>352.40585609171717</v>
      </c>
      <c r="DF15" s="1">
        <f t="shared" si="42"/>
        <v>348.88179753079999</v>
      </c>
      <c r="DG15" s="1">
        <f t="shared" si="42"/>
        <v>345.39297955549199</v>
      </c>
      <c r="DH15" s="1">
        <f t="shared" si="42"/>
        <v>341.93904975993706</v>
      </c>
      <c r="DI15" s="1">
        <f t="shared" si="42"/>
        <v>338.51965926233771</v>
      </c>
      <c r="DJ15" s="1">
        <f t="shared" si="42"/>
        <v>335.13446266971431</v>
      </c>
      <c r="DK15" s="1">
        <f t="shared" si="42"/>
        <v>331.78311804301717</v>
      </c>
      <c r="DL15" s="1">
        <f t="shared" si="42"/>
        <v>328.46528686258699</v>
      </c>
      <c r="DM15" s="1">
        <f t="shared" si="42"/>
        <v>325.18063399396112</v>
      </c>
      <c r="DN15" s="1">
        <f t="shared" si="42"/>
        <v>321.92882765402152</v>
      </c>
      <c r="DO15" s="1">
        <f t="shared" si="42"/>
        <v>318.70953937748129</v>
      </c>
      <c r="DP15" s="1">
        <f t="shared" si="42"/>
        <v>315.52244398370647</v>
      </c>
      <c r="DQ15" s="1">
        <f t="shared" si="42"/>
        <v>312.3672195438694</v>
      </c>
      <c r="DR15" s="1">
        <f t="shared" si="42"/>
        <v>309.2435473484307</v>
      </c>
      <c r="DS15" s="1">
        <f t="shared" si="42"/>
        <v>306.15111187494637</v>
      </c>
      <c r="DT15" s="1">
        <f t="shared" si="42"/>
        <v>303.08960075619689</v>
      </c>
      <c r="DU15" s="1">
        <f t="shared" si="42"/>
        <v>300.05870474863491</v>
      </c>
      <c r="DV15" s="1">
        <f t="shared" si="42"/>
        <v>297.05811770114855</v>
      </c>
      <c r="DW15" s="1">
        <f t="shared" si="42"/>
        <v>294.08753652413708</v>
      </c>
      <c r="DX15" s="1">
        <f t="shared" si="42"/>
        <v>291.14666115889571</v>
      </c>
      <c r="DY15" s="1">
        <f t="shared" si="42"/>
        <v>288.23519454730678</v>
      </c>
      <c r="DZ15" s="1">
        <f t="shared" si="42"/>
        <v>285.35284260183369</v>
      </c>
      <c r="EA15" s="1">
        <f t="shared" si="42"/>
        <v>282.49931417581536</v>
      </c>
      <c r="EB15" s="1">
        <f t="shared" si="42"/>
        <v>279.67432103405719</v>
      </c>
      <c r="EC15" s="1">
        <f t="shared" si="42"/>
        <v>276.87757782371659</v>
      </c>
      <c r="ED15" s="1">
        <f t="shared" si="42"/>
        <v>274.10880204547942</v>
      </c>
      <c r="EE15" s="1">
        <f t="shared" si="42"/>
        <v>271.36771402502461</v>
      </c>
      <c r="EF15" s="1">
        <f t="shared" si="42"/>
        <v>268.65403688477437</v>
      </c>
      <c r="EG15" s="1">
        <f t="shared" si="42"/>
        <v>265.9674965159266</v>
      </c>
      <c r="EH15" s="1">
        <f t="shared" si="42"/>
        <v>263.30782155076736</v>
      </c>
      <c r="EI15" s="1">
        <f t="shared" si="42"/>
        <v>260.67474333525968</v>
      </c>
      <c r="EJ15" s="1">
        <f t="shared" si="42"/>
        <v>258.06799590190707</v>
      </c>
      <c r="EK15" s="1">
        <f t="shared" si="42"/>
        <v>255.48731594288799</v>
      </c>
      <c r="EL15" s="1">
        <f t="shared" si="42"/>
        <v>252.93244278345909</v>
      </c>
      <c r="EM15" s="1">
        <f t="shared" si="42"/>
        <v>250.40311835562451</v>
      </c>
      <c r="EN15" s="1">
        <f t="shared" ref="EN15:FZ15" si="43">EM15*(1+$CC$29)</f>
        <v>247.89908717206828</v>
      </c>
      <c r="EO15" s="1">
        <f t="shared" si="43"/>
        <v>245.42009630034758</v>
      </c>
      <c r="EP15" s="1">
        <f t="shared" si="43"/>
        <v>242.96589533734411</v>
      </c>
      <c r="EQ15" s="1">
        <f t="shared" si="43"/>
        <v>240.53623638397067</v>
      </c>
      <c r="ER15" s="1">
        <f t="shared" si="43"/>
        <v>238.13087402013096</v>
      </c>
      <c r="ES15" s="1">
        <f t="shared" si="43"/>
        <v>235.74956527992964</v>
      </c>
      <c r="ET15" s="1">
        <f t="shared" si="43"/>
        <v>233.39206962713035</v>
      </c>
      <c r="EU15" s="1">
        <f t="shared" si="43"/>
        <v>231.05814893085906</v>
      </c>
      <c r="EV15" s="1">
        <f t="shared" si="43"/>
        <v>228.74756744155047</v>
      </c>
      <c r="EW15" s="1">
        <f t="shared" si="43"/>
        <v>226.46009176713497</v>
      </c>
      <c r="EX15" s="1">
        <f t="shared" si="43"/>
        <v>224.19549084946362</v>
      </c>
      <c r="EY15" s="1">
        <f t="shared" si="43"/>
        <v>221.95353594096898</v>
      </c>
      <c r="EZ15" s="1">
        <f t="shared" si="43"/>
        <v>219.73400058155929</v>
      </c>
      <c r="FA15" s="1">
        <f t="shared" si="43"/>
        <v>217.5366605757437</v>
      </c>
      <c r="FB15" s="1">
        <f t="shared" si="43"/>
        <v>215.36129396998626</v>
      </c>
      <c r="FC15" s="1">
        <f t="shared" si="43"/>
        <v>213.20768103028641</v>
      </c>
      <c r="FD15" s="1">
        <f t="shared" si="43"/>
        <v>211.07560421998355</v>
      </c>
      <c r="FE15" s="1">
        <f t="shared" si="43"/>
        <v>208.96484817778372</v>
      </c>
      <c r="FF15" s="1">
        <f t="shared" si="43"/>
        <v>206.87519969600589</v>
      </c>
      <c r="FG15" s="1">
        <f t="shared" si="43"/>
        <v>204.80644769904583</v>
      </c>
      <c r="FH15" s="1">
        <f t="shared" si="43"/>
        <v>202.75838322205539</v>
      </c>
      <c r="FI15" s="1">
        <f t="shared" si="43"/>
        <v>200.73079938983483</v>
      </c>
      <c r="FJ15" s="1">
        <f t="shared" si="43"/>
        <v>198.72349139593649</v>
      </c>
      <c r="FK15" s="1">
        <f t="shared" si="43"/>
        <v>196.73625648197714</v>
      </c>
      <c r="FL15" s="1">
        <f t="shared" si="43"/>
        <v>194.76889391715736</v>
      </c>
      <c r="FM15" s="1">
        <f t="shared" si="43"/>
        <v>192.82120497798579</v>
      </c>
      <c r="FN15" s="1">
        <f t="shared" si="43"/>
        <v>190.89299292820593</v>
      </c>
      <c r="FO15" s="1">
        <f t="shared" si="43"/>
        <v>188.98406299892386</v>
      </c>
      <c r="FP15" s="1">
        <f t="shared" si="43"/>
        <v>187.09422236893462</v>
      </c>
      <c r="FQ15" s="1">
        <f t="shared" si="43"/>
        <v>185.22328014524527</v>
      </c>
      <c r="FR15" s="1">
        <f t="shared" si="43"/>
        <v>183.37104734379281</v>
      </c>
      <c r="FS15" s="1">
        <f t="shared" si="43"/>
        <v>181.53733687035489</v>
      </c>
      <c r="FT15" s="1">
        <f t="shared" si="43"/>
        <v>179.72196350165135</v>
      </c>
      <c r="FU15" s="1">
        <f t="shared" si="43"/>
        <v>177.92474386663483</v>
      </c>
      <c r="FV15" s="1">
        <f t="shared" si="43"/>
        <v>176.14549642796848</v>
      </c>
      <c r="FW15" s="1">
        <f t="shared" si="43"/>
        <v>174.38404146368879</v>
      </c>
      <c r="FX15" s="1">
        <f t="shared" si="43"/>
        <v>172.64020104905191</v>
      </c>
      <c r="FY15" s="1">
        <f t="shared" si="43"/>
        <v>170.91379903856139</v>
      </c>
      <c r="FZ15" s="1">
        <f t="shared" si="43"/>
        <v>169.20466104817578</v>
      </c>
    </row>
    <row r="16" spans="2:182" x14ac:dyDescent="0.3">
      <c r="B16" t="s">
        <v>2</v>
      </c>
      <c r="C16" s="5">
        <v>65.16</v>
      </c>
      <c r="D16" s="5">
        <v>65.16</v>
      </c>
      <c r="E16" s="5">
        <v>65.16</v>
      </c>
      <c r="F16" s="5">
        <v>65.16</v>
      </c>
      <c r="G16" s="5">
        <v>65.16</v>
      </c>
      <c r="H16" s="5">
        <v>65.16</v>
      </c>
      <c r="I16" s="5">
        <v>65.16</v>
      </c>
      <c r="J16" s="5">
        <v>65.16</v>
      </c>
      <c r="K16" s="5">
        <v>65.16</v>
      </c>
      <c r="L16" s="5">
        <v>65.16</v>
      </c>
      <c r="M16" s="5">
        <v>65.16</v>
      </c>
      <c r="N16" s="5">
        <v>65.16</v>
      </c>
      <c r="O16" s="5">
        <v>65.16</v>
      </c>
      <c r="P16" s="5">
        <v>65.16</v>
      </c>
      <c r="Q16" s="5">
        <v>65.16</v>
      </c>
      <c r="R16" s="5">
        <v>65.16</v>
      </c>
      <c r="S16" s="5">
        <v>65.16</v>
      </c>
      <c r="T16" s="5">
        <v>65.16</v>
      </c>
      <c r="U16" s="5">
        <v>65.16</v>
      </c>
      <c r="V16" s="5">
        <v>65.16</v>
      </c>
      <c r="W16" s="5">
        <v>65.16</v>
      </c>
      <c r="X16" s="5">
        <v>65.16</v>
      </c>
      <c r="Y16" s="5">
        <v>65.16</v>
      </c>
      <c r="Z16" s="5">
        <v>65.16</v>
      </c>
      <c r="AA16" s="5">
        <v>65.16</v>
      </c>
      <c r="AB16" s="5">
        <v>65.16</v>
      </c>
      <c r="AC16" s="5">
        <v>65.16</v>
      </c>
      <c r="AD16" s="5">
        <v>65.16</v>
      </c>
      <c r="AE16" s="5">
        <v>65.16</v>
      </c>
      <c r="AF16" s="5">
        <v>65.16</v>
      </c>
      <c r="AG16" s="5">
        <v>65.16</v>
      </c>
      <c r="AH16" s="5">
        <v>65.2</v>
      </c>
      <c r="AI16" s="5">
        <v>71.8</v>
      </c>
      <c r="AJ16" s="13">
        <v>72.599999999999994</v>
      </c>
      <c r="AK16" s="13">
        <v>75.900000000000006</v>
      </c>
      <c r="AL16" s="13">
        <v>75.900000000000006</v>
      </c>
      <c r="AM16" s="13">
        <v>75.900000000000006</v>
      </c>
      <c r="AN16" s="13">
        <v>304.2</v>
      </c>
      <c r="AO16" s="13">
        <v>304.2</v>
      </c>
      <c r="AP16" s="13">
        <v>304.3</v>
      </c>
      <c r="AQ16" s="13">
        <v>304.5</v>
      </c>
      <c r="AR16" s="13">
        <v>304.8</v>
      </c>
      <c r="AS16" s="13">
        <v>305.3</v>
      </c>
      <c r="AT16" s="13">
        <v>305.60000000000002</v>
      </c>
      <c r="AU16" s="13">
        <v>305.89999999999998</v>
      </c>
      <c r="AV16" s="5">
        <v>426.5</v>
      </c>
      <c r="AW16" s="5">
        <f>426.5+20</f>
        <v>446.5</v>
      </c>
      <c r="AX16" s="5">
        <f>447.1</f>
        <v>447.1</v>
      </c>
      <c r="AY16" s="5">
        <f>447.1</f>
        <v>447.1</v>
      </c>
      <c r="AZ16" s="5">
        <f>447.1</f>
        <v>447.1</v>
      </c>
      <c r="BA16" s="5">
        <f>447.1</f>
        <v>447.1</v>
      </c>
      <c r="BB16" s="5">
        <f>447.1</f>
        <v>447.1</v>
      </c>
      <c r="BD16" s="13">
        <v>118.4</v>
      </c>
      <c r="BE16" s="13">
        <v>113.2</v>
      </c>
      <c r="BF16" s="13">
        <v>106.7</v>
      </c>
      <c r="BG16" s="13">
        <v>103.8</v>
      </c>
      <c r="BH16" s="13">
        <v>101.5</v>
      </c>
      <c r="BI16" s="13">
        <v>102.1</v>
      </c>
      <c r="BJ16" s="13">
        <v>87.5</v>
      </c>
      <c r="BK16" s="13">
        <v>65</v>
      </c>
      <c r="BL16" s="13">
        <v>72.599999999999994</v>
      </c>
      <c r="BM16" s="13">
        <f>AN16</f>
        <v>304.2</v>
      </c>
      <c r="BN16" s="13">
        <f>AR16</f>
        <v>304.8</v>
      </c>
      <c r="BO16" s="5">
        <f t="shared" ref="BO16" si="44">426.5+20</f>
        <v>446.5</v>
      </c>
      <c r="BP16" s="5">
        <f t="shared" ref="BP16:BZ16" si="45">447.1</f>
        <v>447.1</v>
      </c>
      <c r="BQ16" s="5">
        <f t="shared" si="45"/>
        <v>447.1</v>
      </c>
      <c r="BR16" s="5">
        <f t="shared" si="45"/>
        <v>447.1</v>
      </c>
      <c r="BS16" s="5">
        <f t="shared" si="45"/>
        <v>447.1</v>
      </c>
      <c r="BT16" s="5">
        <f t="shared" si="45"/>
        <v>447.1</v>
      </c>
      <c r="BU16" s="5">
        <f t="shared" si="45"/>
        <v>447.1</v>
      </c>
      <c r="BV16" s="5">
        <f t="shared" si="45"/>
        <v>447.1</v>
      </c>
      <c r="BW16" s="5">
        <f t="shared" si="45"/>
        <v>447.1</v>
      </c>
      <c r="BX16" s="5">
        <f t="shared" si="45"/>
        <v>447.1</v>
      </c>
      <c r="BY16" s="5">
        <f t="shared" si="45"/>
        <v>447.1</v>
      </c>
      <c r="BZ16" s="5">
        <f t="shared" si="45"/>
        <v>447.1</v>
      </c>
    </row>
    <row r="17" spans="1:81" s="1" customFormat="1" x14ac:dyDescent="0.3">
      <c r="B17" s="1" t="s">
        <v>51</v>
      </c>
      <c r="C17" s="9">
        <f t="shared" ref="C17:AF17" si="46">C15/C16</f>
        <v>0.83793738489871017</v>
      </c>
      <c r="D17" s="9">
        <f t="shared" si="46"/>
        <v>0.16114180478821466</v>
      </c>
      <c r="E17" s="9">
        <f t="shared" si="46"/>
        <v>1.0527931246163271</v>
      </c>
      <c r="F17" s="9">
        <f t="shared" si="46"/>
        <v>3.3839779005524857</v>
      </c>
      <c r="G17" s="9">
        <f t="shared" si="46"/>
        <v>1.043585021485572</v>
      </c>
      <c r="H17" s="9">
        <f t="shared" si="46"/>
        <v>0.37753222836095945</v>
      </c>
      <c r="I17" s="9">
        <f t="shared" si="46"/>
        <v>0.8655616942909734</v>
      </c>
      <c r="J17" s="9">
        <f t="shared" si="46"/>
        <v>3.7461632903621882</v>
      </c>
      <c r="K17" s="9">
        <f t="shared" si="46"/>
        <v>1.1325966850828728</v>
      </c>
      <c r="L17" s="9">
        <f t="shared" si="46"/>
        <v>0.38827501534683834</v>
      </c>
      <c r="M17" s="9">
        <f t="shared" si="46"/>
        <v>0.85788827501534548</v>
      </c>
      <c r="N17" s="9">
        <f t="shared" si="46"/>
        <v>3.80294659300184</v>
      </c>
      <c r="O17" s="9">
        <f t="shared" si="46"/>
        <v>1.009821976672806</v>
      </c>
      <c r="P17" s="9">
        <f t="shared" si="46"/>
        <v>0.42817679558010979</v>
      </c>
      <c r="Q17" s="9">
        <f t="shared" si="46"/>
        <v>0.77961939840392924</v>
      </c>
      <c r="R17" s="9">
        <f t="shared" si="46"/>
        <v>3.2028852056476387</v>
      </c>
      <c r="S17" s="9">
        <f t="shared" si="46"/>
        <v>0.9054634745242478</v>
      </c>
      <c r="T17" s="9">
        <f t="shared" si="46"/>
        <v>0.34069981583793496</v>
      </c>
      <c r="U17" s="9">
        <f t="shared" si="46"/>
        <v>0.91160220994474894</v>
      </c>
      <c r="V17" s="9">
        <f t="shared" si="46"/>
        <v>-1.6252302025782686</v>
      </c>
      <c r="W17" s="9">
        <f t="shared" si="46"/>
        <v>0.43278084714548704</v>
      </c>
      <c r="X17" s="9">
        <f t="shared" si="46"/>
        <v>-0.38213627992633242</v>
      </c>
      <c r="Y17" s="9">
        <f t="shared" si="46"/>
        <v>-11.867710251688152</v>
      </c>
      <c r="Z17" s="9">
        <f t="shared" si="46"/>
        <v>-2.6503990178023296</v>
      </c>
      <c r="AA17" s="9">
        <f t="shared" si="46"/>
        <v>0.1043585021485583</v>
      </c>
      <c r="AB17" s="9">
        <f t="shared" si="46"/>
        <v>-6.3735420503376288</v>
      </c>
      <c r="AC17" s="9">
        <f t="shared" si="46"/>
        <v>-1.2799263351749541</v>
      </c>
      <c r="AD17" s="9">
        <f t="shared" si="46"/>
        <v>0.32228360957642682</v>
      </c>
      <c r="AE17" s="9">
        <f t="shared" si="46"/>
        <v>-2.5429711479435242</v>
      </c>
      <c r="AF17" s="9">
        <f t="shared" si="46"/>
        <v>-1.7081031307550638</v>
      </c>
      <c r="AG17" s="9">
        <f t="shared" ref="AG17:AH17" si="47">AG15/AG16</f>
        <v>-0.28852056476365723</v>
      </c>
      <c r="AH17" s="9">
        <f t="shared" si="47"/>
        <v>1.2346625766871149</v>
      </c>
      <c r="AI17" s="9">
        <f t="shared" ref="AI17" si="48">AI15/AI16</f>
        <v>-0.93036211699164484</v>
      </c>
      <c r="AJ17" s="17">
        <f t="shared" ref="AJ17:AX17" si="49">AJ15/AJ16</f>
        <v>-0.84848484848484695</v>
      </c>
      <c r="AK17" s="17">
        <f t="shared" si="49"/>
        <v>-1.388669301712778</v>
      </c>
      <c r="AL17" s="17">
        <f t="shared" si="49"/>
        <v>-1.862977602108036</v>
      </c>
      <c r="AM17" s="17">
        <f t="shared" si="49"/>
        <v>-2.0803689064558624</v>
      </c>
      <c r="AN17" s="17">
        <f t="shared" si="49"/>
        <v>-0.34911242603550285</v>
      </c>
      <c r="AO17" s="17">
        <f t="shared" si="49"/>
        <v>-0.31262327416173546</v>
      </c>
      <c r="AP17" s="17">
        <f t="shared" si="49"/>
        <v>0.14952349654945846</v>
      </c>
      <c r="AQ17" s="17">
        <f t="shared" si="49"/>
        <v>-0.16650246305418731</v>
      </c>
      <c r="AR17" s="17">
        <f t="shared" si="49"/>
        <v>-9.1863517060368199E-3</v>
      </c>
      <c r="AS17" s="17">
        <f t="shared" si="49"/>
        <v>-1.0153946937438731E-2</v>
      </c>
      <c r="AT17" s="17">
        <f t="shared" si="49"/>
        <v>0.20647905759162247</v>
      </c>
      <c r="AU17" s="17">
        <f t="shared" si="49"/>
        <v>-0.10559006211180133</v>
      </c>
      <c r="AV17" s="17">
        <f t="shared" si="49"/>
        <v>3.4701055099648166E-2</v>
      </c>
      <c r="AW17" s="17">
        <f t="shared" si="49"/>
        <v>3.8969764837626091E-2</v>
      </c>
      <c r="AX17" s="17">
        <f t="shared" si="49"/>
        <v>0.29367031983896186</v>
      </c>
      <c r="AY17" s="17">
        <f t="shared" ref="AY17:BB17" si="50">AY15/AY16</f>
        <v>4.1532936703198353E-2</v>
      </c>
      <c r="AZ17" s="17">
        <f t="shared" si="50"/>
        <v>8.3234587340639654E-2</v>
      </c>
      <c r="BA17" s="17">
        <f t="shared" si="50"/>
        <v>0.11011308432118085</v>
      </c>
      <c r="BB17" s="17">
        <f t="shared" si="50"/>
        <v>0.25761528069783052</v>
      </c>
      <c r="BD17" s="9">
        <f t="shared" ref="BD17:BK17" si="51">BD15/BD16</f>
        <v>2.9915540540540477</v>
      </c>
      <c r="BE17" s="9">
        <f t="shared" si="51"/>
        <v>3.472614840989396</v>
      </c>
      <c r="BF17" s="9">
        <f t="shared" si="51"/>
        <v>3.7750702905342011</v>
      </c>
      <c r="BG17" s="9">
        <f t="shared" si="51"/>
        <v>3.4026974951830429</v>
      </c>
      <c r="BH17" s="9">
        <f t="shared" si="51"/>
        <v>0.34187192118226944</v>
      </c>
      <c r="BI17" s="9">
        <f t="shared" si="51"/>
        <v>-9.2331047992164486</v>
      </c>
      <c r="BJ17" s="9">
        <f t="shared" si="51"/>
        <v>-5.3817142857142866</v>
      </c>
      <c r="BK17" s="9">
        <f t="shared" si="51"/>
        <v>-3.3123076923077037</v>
      </c>
      <c r="BL17" s="9">
        <f t="shared" ref="BL17:BU17" si="52">BL15/BL16</f>
        <v>-5.1074380165289099</v>
      </c>
      <c r="BM17" s="9">
        <f t="shared" si="52"/>
        <v>-1.0312294543063774</v>
      </c>
      <c r="BN17" s="9">
        <f t="shared" si="52"/>
        <v>2.1325459317582902E-2</v>
      </c>
      <c r="BO17" s="9">
        <f t="shared" si="52"/>
        <v>0.29384098544232817</v>
      </c>
      <c r="BP17" s="9">
        <f t="shared" si="52"/>
        <v>0.49249588906284919</v>
      </c>
      <c r="BQ17" s="9">
        <f t="shared" si="52"/>
        <v>0.8129988124178037</v>
      </c>
      <c r="BR17" s="9">
        <f t="shared" si="52"/>
        <v>0.90225523643685901</v>
      </c>
      <c r="BS17" s="9">
        <f t="shared" si="52"/>
        <v>0.92461875356900636</v>
      </c>
      <c r="BT17" s="9">
        <f t="shared" si="52"/>
        <v>0.94640809402752468</v>
      </c>
      <c r="BU17" s="9">
        <f t="shared" si="52"/>
        <v>0.96877988251189129</v>
      </c>
      <c r="BV17" s="9">
        <f t="shared" ref="BV17:BZ17" si="53">BV15/BV16</f>
        <v>0.98923303865487688</v>
      </c>
      <c r="BW17" s="9">
        <f t="shared" si="53"/>
        <v>1.0102007252730234</v>
      </c>
      <c r="BX17" s="9">
        <f t="shared" si="53"/>
        <v>1.0316971284023804</v>
      </c>
      <c r="BY17" s="9">
        <f t="shared" si="53"/>
        <v>1.0537368419765722</v>
      </c>
      <c r="BZ17" s="9">
        <f t="shared" si="53"/>
        <v>1.0763348797831975</v>
      </c>
    </row>
    <row r="18" spans="1:81" x14ac:dyDescent="0.3"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</row>
    <row r="19" spans="1:81" x14ac:dyDescent="0.3">
      <c r="B19" t="s">
        <v>109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>
        <f t="shared" ref="AI19:AX19" si="54">AI3/AE3-1</f>
        <v>0.37107776261937242</v>
      </c>
      <c r="AJ19" s="8">
        <f t="shared" si="54"/>
        <v>0.38043478260869557</v>
      </c>
      <c r="AK19" s="8">
        <f t="shared" si="54"/>
        <v>0.62046444121915822</v>
      </c>
      <c r="AL19" s="8">
        <f t="shared" si="54"/>
        <v>2.2361744216048862E-2</v>
      </c>
      <c r="AM19" s="8">
        <f t="shared" si="54"/>
        <v>-4.2217484008528872E-2</v>
      </c>
      <c r="AN19" s="8">
        <f t="shared" si="54"/>
        <v>-2.1653543307086687E-2</v>
      </c>
      <c r="AO19" s="8">
        <f t="shared" si="54"/>
        <v>-6.4039408866994996E-2</v>
      </c>
      <c r="AP19" s="8">
        <f t="shared" si="54"/>
        <v>4.5511903760410366E-2</v>
      </c>
      <c r="AQ19" s="8">
        <f t="shared" si="54"/>
        <v>7.7174235678242775E-2</v>
      </c>
      <c r="AR19" s="8">
        <f t="shared" si="54"/>
        <v>1.006036217303885E-3</v>
      </c>
      <c r="AS19" s="8">
        <f t="shared" si="54"/>
        <v>-7.5917065390749605E-2</v>
      </c>
      <c r="AT19" s="8">
        <f t="shared" si="54"/>
        <v>-0.11924686192468625</v>
      </c>
      <c r="AU19" s="8">
        <f t="shared" si="54"/>
        <v>-0.30380270046844859</v>
      </c>
      <c r="AV19" s="8">
        <f t="shared" si="54"/>
        <v>-0.2442211055276382</v>
      </c>
      <c r="AW19" s="8">
        <f t="shared" si="54"/>
        <v>-0.2795995857783915</v>
      </c>
      <c r="AX19" s="8">
        <f t="shared" si="54"/>
        <v>-0.33692673122601857</v>
      </c>
      <c r="AY19" s="8">
        <f t="shared" ref="AY19:AY22" si="55">AY3/AU3-1</f>
        <v>-0.18000000000000005</v>
      </c>
      <c r="AZ19" s="8">
        <f t="shared" ref="AZ19:AZ22" si="56">AZ3/AV3-1</f>
        <v>-0.19999999999999984</v>
      </c>
      <c r="BA19" s="8">
        <f t="shared" ref="BA19:BA22" si="57">BA3/AW3-1</f>
        <v>-0.15000000000000002</v>
      </c>
      <c r="BB19" s="8">
        <f t="shared" ref="BB19:BB22" si="58">BB3/AX3-1</f>
        <v>-9.9999999999999867E-2</v>
      </c>
      <c r="BL19" s="8">
        <f t="shared" ref="BL19:BL21" si="59">BL3/BK3-1</f>
        <v>0.14161529951003615</v>
      </c>
      <c r="BM19" s="8">
        <f t="shared" ref="BM19:BM21" si="60">BM3/BL3-1</f>
        <v>8.6806036273016751E-2</v>
      </c>
      <c r="BN19" s="8">
        <f t="shared" ref="BN19:BN21" si="61">BN3/BM3-1</f>
        <v>-4.5605095541401353E-2</v>
      </c>
      <c r="BO19" s="8">
        <f t="shared" ref="BO19:BO21" si="62">BO3/BN3-1</f>
        <v>-0.29935264281900698</v>
      </c>
      <c r="BP19" s="8">
        <f t="shared" ref="BP19:BP21" si="63">BP3/BO3-1</f>
        <v>-0.15068057341524976</v>
      </c>
      <c r="BQ19" s="8">
        <f t="shared" ref="BQ19:BQ21" si="64">BQ3/BP3-1</f>
        <v>1.0000000000000009E-2</v>
      </c>
      <c r="BR19" s="8">
        <f t="shared" ref="BR19:BR21" si="65">BR3/BQ3-1</f>
        <v>1.0000000000000009E-2</v>
      </c>
      <c r="BS19" s="8">
        <f t="shared" ref="BS19:BS21" si="66">BS3/BR3-1</f>
        <v>1.0000000000000009E-2</v>
      </c>
      <c r="BT19" s="8">
        <f t="shared" ref="BT19:BT21" si="67">BT3/BS3-1</f>
        <v>1.0000000000000009E-2</v>
      </c>
      <c r="BU19" s="8">
        <f t="shared" ref="BU19:BU21" si="68">BU3/BT3-1</f>
        <v>1.0000000000000009E-2</v>
      </c>
      <c r="BV19" s="8">
        <f t="shared" ref="BV19:BV21" si="69">BV3/BU3-1</f>
        <v>1.0000000000000009E-2</v>
      </c>
      <c r="BW19" s="8">
        <f t="shared" ref="BW19:BW21" si="70">BW3/BV3-1</f>
        <v>1.0000000000000009E-2</v>
      </c>
      <c r="BX19" s="8">
        <f t="shared" ref="BX19:BX21" si="71">BX3/BW3-1</f>
        <v>1.0000000000000009E-2</v>
      </c>
      <c r="BY19" s="8">
        <f t="shared" ref="BY19:BY21" si="72">BY3/BX3-1</f>
        <v>1.0000000000000009E-2</v>
      </c>
      <c r="BZ19" s="8">
        <f t="shared" ref="BZ19:BZ21" si="73">BZ3/BY3-1</f>
        <v>1.0000000000000009E-2</v>
      </c>
    </row>
    <row r="20" spans="1:81" x14ac:dyDescent="0.3">
      <c r="B20" t="s">
        <v>110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>
        <f t="shared" ref="AI20:AX20" si="74">AI4/AE4-1</f>
        <v>-4.5803357314148752E-2</v>
      </c>
      <c r="AJ20" s="8">
        <f t="shared" si="74"/>
        <v>2.6131953428201848E-2</v>
      </c>
      <c r="AK20" s="8">
        <f t="shared" si="74"/>
        <v>-2.2277227722772186E-2</v>
      </c>
      <c r="AL20" s="8">
        <f t="shared" si="74"/>
        <v>7.480853391684894E-2</v>
      </c>
      <c r="AM20" s="8">
        <f t="shared" si="74"/>
        <v>0.21563206835888415</v>
      </c>
      <c r="AN20" s="8">
        <f t="shared" si="74"/>
        <v>-0.20221886031265768</v>
      </c>
      <c r="AO20" s="8">
        <f t="shared" si="74"/>
        <v>-0.18964326812428078</v>
      </c>
      <c r="AP20" s="8">
        <f t="shared" si="74"/>
        <v>-0.1469652627560758</v>
      </c>
      <c r="AQ20" s="8">
        <f t="shared" si="74"/>
        <v>-0.30059954517262766</v>
      </c>
      <c r="AR20" s="8">
        <f t="shared" si="74"/>
        <v>0.25474083438685224</v>
      </c>
      <c r="AS20" s="8">
        <f t="shared" si="74"/>
        <v>-8.74751491053678E-2</v>
      </c>
      <c r="AT20" s="8">
        <f t="shared" si="74"/>
        <v>-0.30593675417661093</v>
      </c>
      <c r="AU20" s="8">
        <f t="shared" si="74"/>
        <v>-0.29145728643216084</v>
      </c>
      <c r="AV20" s="8">
        <f t="shared" si="74"/>
        <v>-0.47682619647355162</v>
      </c>
      <c r="AW20" s="8">
        <f t="shared" si="74"/>
        <v>-0.15406162464985995</v>
      </c>
      <c r="AX20" s="8">
        <f t="shared" si="74"/>
        <v>-0.38491295938104453</v>
      </c>
      <c r="AY20" s="8">
        <f t="shared" si="55"/>
        <v>-0.18000000000000005</v>
      </c>
      <c r="AZ20" s="8">
        <f t="shared" si="56"/>
        <v>-0.19999999999999996</v>
      </c>
      <c r="BA20" s="8">
        <f t="shared" si="57"/>
        <v>-0.15000000000000002</v>
      </c>
      <c r="BB20" s="8">
        <f t="shared" si="58"/>
        <v>-9.9999999999999978E-2</v>
      </c>
      <c r="BL20" s="8">
        <f t="shared" si="59"/>
        <v>-4.5475216007275776E-3</v>
      </c>
      <c r="BM20" s="8">
        <f t="shared" si="60"/>
        <v>-7.4869295974823613E-2</v>
      </c>
      <c r="BN20" s="8">
        <f t="shared" si="61"/>
        <v>-0.16498408866454517</v>
      </c>
      <c r="BO20" s="8">
        <f t="shared" si="62"/>
        <v>-0.33937840856823698</v>
      </c>
      <c r="BP20" s="8">
        <f t="shared" si="63"/>
        <v>-0.15324845832504497</v>
      </c>
      <c r="BQ20" s="8">
        <f t="shared" si="64"/>
        <v>2.0000000000000018E-2</v>
      </c>
      <c r="BR20" s="8">
        <f t="shared" si="65"/>
        <v>2.0000000000000018E-2</v>
      </c>
      <c r="BS20" s="8">
        <f t="shared" si="66"/>
        <v>2.0000000000000018E-2</v>
      </c>
      <c r="BT20" s="8">
        <f t="shared" si="67"/>
        <v>2.0000000000000018E-2</v>
      </c>
      <c r="BU20" s="8">
        <f t="shared" si="68"/>
        <v>2.0000000000000018E-2</v>
      </c>
      <c r="BV20" s="8">
        <f t="shared" si="69"/>
        <v>1.0000000000000009E-2</v>
      </c>
      <c r="BW20" s="8">
        <f t="shared" si="70"/>
        <v>1.0000000000000009E-2</v>
      </c>
      <c r="BX20" s="8">
        <f t="shared" si="71"/>
        <v>1.0000000000000009E-2</v>
      </c>
      <c r="BY20" s="8">
        <f t="shared" si="72"/>
        <v>1.0000000000000009E-2</v>
      </c>
      <c r="BZ20" s="8">
        <f t="shared" si="73"/>
        <v>1.0000000000000009E-2</v>
      </c>
    </row>
    <row r="21" spans="1:81" x14ac:dyDescent="0.3">
      <c r="B21" t="s">
        <v>111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>
        <f t="shared" ref="AI21:AX21" si="75">AI5/AE5-1</f>
        <v>0.92959295929592956</v>
      </c>
      <c r="AJ21" s="8">
        <f t="shared" si="75"/>
        <v>0.55575065847234395</v>
      </c>
      <c r="AK21" s="8">
        <f t="shared" si="75"/>
        <v>0.30837304288631717</v>
      </c>
      <c r="AL21" s="8">
        <f t="shared" si="75"/>
        <v>0.2239263803680982</v>
      </c>
      <c r="AM21" s="8">
        <f t="shared" si="75"/>
        <v>0.25940706955530213</v>
      </c>
      <c r="AN21" s="8">
        <f t="shared" si="75"/>
        <v>0.25959367945823919</v>
      </c>
      <c r="AO21" s="8">
        <f t="shared" si="75"/>
        <v>7.8563995837669154E-2</v>
      </c>
      <c r="AP21" s="8">
        <f t="shared" si="75"/>
        <v>0.12137486573576783</v>
      </c>
      <c r="AQ21" s="8">
        <f t="shared" si="75"/>
        <v>-0.21684019918515163</v>
      </c>
      <c r="AR21" s="8">
        <f t="shared" si="75"/>
        <v>-0.23924731182795689</v>
      </c>
      <c r="AS21" s="8">
        <f t="shared" si="75"/>
        <v>-0.1432706222865413</v>
      </c>
      <c r="AT21" s="8">
        <f t="shared" si="75"/>
        <v>-0.25383141762452111</v>
      </c>
      <c r="AU21" s="8">
        <f t="shared" si="75"/>
        <v>-0.20924855491329475</v>
      </c>
      <c r="AV21" s="8">
        <f t="shared" si="75"/>
        <v>-0.17903415783274446</v>
      </c>
      <c r="AW21" s="8">
        <f t="shared" si="75"/>
        <v>-3.6599099099099086E-2</v>
      </c>
      <c r="AX21" s="8">
        <f t="shared" si="75"/>
        <v>0.15789473684210531</v>
      </c>
      <c r="AY21" s="8">
        <f t="shared" si="55"/>
        <v>0.10000000000000009</v>
      </c>
      <c r="AZ21" s="8">
        <f t="shared" si="56"/>
        <v>0.10000000000000009</v>
      </c>
      <c r="BA21" s="8">
        <f t="shared" si="57"/>
        <v>0.10000000000000009</v>
      </c>
      <c r="BB21" s="8">
        <f t="shared" si="58"/>
        <v>0.10000000000000009</v>
      </c>
      <c r="BL21" s="8">
        <f t="shared" si="59"/>
        <v>0.25487152957406467</v>
      </c>
      <c r="BM21" s="8">
        <f t="shared" si="60"/>
        <v>0.32554624158307011</v>
      </c>
      <c r="BN21" s="8">
        <f t="shared" si="61"/>
        <v>-0.21822517105535999</v>
      </c>
      <c r="BO21" s="8">
        <f t="shared" si="62"/>
        <v>-4.8004243469035757E-2</v>
      </c>
      <c r="BP21" s="8">
        <f t="shared" si="63"/>
        <v>9.9999999999999867E-2</v>
      </c>
      <c r="BQ21" s="8">
        <f t="shared" si="64"/>
        <v>8.0000000000000071E-2</v>
      </c>
      <c r="BR21" s="8">
        <f t="shared" si="65"/>
        <v>6.0000000000000053E-2</v>
      </c>
      <c r="BS21" s="8">
        <f t="shared" si="66"/>
        <v>4.0000000000000036E-2</v>
      </c>
      <c r="BT21" s="8">
        <f t="shared" si="67"/>
        <v>3.0000000000000027E-2</v>
      </c>
      <c r="BU21" s="8">
        <f t="shared" si="68"/>
        <v>3.0000000000000027E-2</v>
      </c>
      <c r="BV21" s="8">
        <f t="shared" si="69"/>
        <v>2.0000000000000018E-2</v>
      </c>
      <c r="BW21" s="8">
        <f t="shared" si="70"/>
        <v>2.0000000000000018E-2</v>
      </c>
      <c r="BX21" s="8">
        <f t="shared" si="71"/>
        <v>2.0000000000000018E-2</v>
      </c>
      <c r="BY21" s="8">
        <f t="shared" si="72"/>
        <v>2.0000000000000018E-2</v>
      </c>
      <c r="BZ21" s="8">
        <f t="shared" si="73"/>
        <v>2.0000000000000018E-2</v>
      </c>
    </row>
    <row r="22" spans="1:81" x14ac:dyDescent="0.3">
      <c r="B22" s="1" t="s">
        <v>53</v>
      </c>
      <c r="G22" s="12">
        <f>G6/C6-1</f>
        <v>7.0229989813970883E-2</v>
      </c>
      <c r="H22" s="12">
        <f t="shared" ref="H22:AH22" si="76">H6/D6-1</f>
        <v>0.25128279251282803</v>
      </c>
      <c r="I22" s="12">
        <f t="shared" si="76"/>
        <v>-6.8828024873024418E-3</v>
      </c>
      <c r="J22" s="12">
        <f t="shared" si="76"/>
        <v>-5.6381996851077809E-2</v>
      </c>
      <c r="K22" s="12">
        <f t="shared" si="76"/>
        <v>3.2209587737314083E-2</v>
      </c>
      <c r="L22" s="12">
        <f t="shared" si="76"/>
        <v>1.7615802240961154E-2</v>
      </c>
      <c r="M22" s="12">
        <f t="shared" si="76"/>
        <v>-3.6277602523659191E-2</v>
      </c>
      <c r="N22" s="12">
        <f t="shared" si="76"/>
        <v>1.4067489427807001E-2</v>
      </c>
      <c r="O22" s="12">
        <f t="shared" si="76"/>
        <v>-4.3239833058332455E-2</v>
      </c>
      <c r="P22" s="12">
        <f t="shared" si="76"/>
        <v>-7.3840740110108438E-2</v>
      </c>
      <c r="Q22" s="12">
        <f t="shared" si="76"/>
        <v>-2.8319198531964407E-2</v>
      </c>
      <c r="R22" s="12">
        <f t="shared" si="76"/>
        <v>-0.13605673758865244</v>
      </c>
      <c r="S22" s="12">
        <f t="shared" si="76"/>
        <v>3.7737763124524593E-2</v>
      </c>
      <c r="T22" s="12">
        <f t="shared" si="76"/>
        <v>3.4195367079298933E-2</v>
      </c>
      <c r="U22" s="12">
        <f t="shared" si="76"/>
        <v>1.5006124948958588E-2</v>
      </c>
      <c r="V22" s="12">
        <f t="shared" si="76"/>
        <v>0.15009522558612987</v>
      </c>
      <c r="W22" s="12">
        <f t="shared" si="76"/>
        <v>-5.4694755364387393E-2</v>
      </c>
      <c r="X22" s="12">
        <f t="shared" si="76"/>
        <v>-2.4235600853282691E-2</v>
      </c>
      <c r="Y22" s="12">
        <f t="shared" si="76"/>
        <v>-2.6752489188373585E-2</v>
      </c>
      <c r="Z22" s="12">
        <f t="shared" si="76"/>
        <v>-0.12548179871520337</v>
      </c>
      <c r="AA22" s="12">
        <f t="shared" si="76"/>
        <v>-0.19974146845915197</v>
      </c>
      <c r="AB22" s="12">
        <f t="shared" si="76"/>
        <v>-0.2192263314507803</v>
      </c>
      <c r="AC22" s="12">
        <f t="shared" si="76"/>
        <v>-0.25674279218766149</v>
      </c>
      <c r="AD22" s="12">
        <f t="shared" si="76"/>
        <v>-0.2836761345086517</v>
      </c>
      <c r="AE22" s="12">
        <f t="shared" si="76"/>
        <v>-0.34031142986366869</v>
      </c>
      <c r="AF22" s="12">
        <f t="shared" si="76"/>
        <v>-0.26732519250213893</v>
      </c>
      <c r="AG22" s="12">
        <f t="shared" si="76"/>
        <v>-0.30156412930135557</v>
      </c>
      <c r="AH22" s="12">
        <f t="shared" si="76"/>
        <v>-3.2815277334670268E-2</v>
      </c>
      <c r="AI22" s="12">
        <f t="shared" ref="AI22:AX22" si="77">AI6/AE6-1</f>
        <v>0.25053868756121456</v>
      </c>
      <c r="AJ22" s="12">
        <f t="shared" si="77"/>
        <v>0.25626326963906587</v>
      </c>
      <c r="AK22" s="12">
        <f t="shared" si="77"/>
        <v>0.29053448790683789</v>
      </c>
      <c r="AL22" s="12">
        <f t="shared" si="77"/>
        <v>6.2108288959050073E-2</v>
      </c>
      <c r="AM22" s="12">
        <f t="shared" si="77"/>
        <v>7.9573934837092741E-2</v>
      </c>
      <c r="AN22" s="12">
        <f t="shared" si="77"/>
        <v>-4.0054081460199509E-2</v>
      </c>
      <c r="AO22" s="12">
        <f t="shared" si="77"/>
        <v>-8.5300015424957687E-2</v>
      </c>
      <c r="AP22" s="12">
        <f t="shared" si="77"/>
        <v>-1.2201073694485087E-2</v>
      </c>
      <c r="AQ22" s="12">
        <f t="shared" si="77"/>
        <v>-0.10251015670342434</v>
      </c>
      <c r="AR22" s="12">
        <f t="shared" si="77"/>
        <v>2.4471830985915544E-2</v>
      </c>
      <c r="AS22" s="12">
        <f t="shared" si="77"/>
        <v>-9.0809443507588572E-2</v>
      </c>
      <c r="AT22" s="12">
        <f t="shared" si="77"/>
        <v>-0.19439453826805608</v>
      </c>
      <c r="AU22" s="12">
        <f t="shared" si="77"/>
        <v>-0.28720394470940103</v>
      </c>
      <c r="AV22" s="12">
        <f t="shared" si="77"/>
        <v>-0.31405739817838119</v>
      </c>
      <c r="AW22" s="12">
        <f t="shared" si="77"/>
        <v>-0.20217008253732716</v>
      </c>
      <c r="AX22" s="12">
        <f t="shared" si="77"/>
        <v>-0.28490187332738626</v>
      </c>
      <c r="AY22" s="12">
        <f t="shared" si="55"/>
        <v>-0.13656157858924922</v>
      </c>
      <c r="AZ22" s="12">
        <f t="shared" si="56"/>
        <v>-0.14761367906801948</v>
      </c>
      <c r="BA22" s="12">
        <f t="shared" si="57"/>
        <v>-0.10027897245147055</v>
      </c>
      <c r="BB22" s="12">
        <f t="shared" si="58"/>
        <v>-5.780445969125203E-2</v>
      </c>
      <c r="BC22" s="1"/>
      <c r="BD22" s="1"/>
      <c r="BE22" s="12">
        <f t="shared" ref="BE22:BU22" si="78">BE6/BD6-1</f>
        <v>2.8375463244648458E-2</v>
      </c>
      <c r="BF22" s="12">
        <f t="shared" si="78"/>
        <v>7.293459552495607E-3</v>
      </c>
      <c r="BG22" s="12">
        <f t="shared" si="78"/>
        <v>-8.0725773724342642E-2</v>
      </c>
      <c r="BH22" s="12">
        <f t="shared" si="78"/>
        <v>7.1643490282182754E-2</v>
      </c>
      <c r="BI22" s="12">
        <f t="shared" si="78"/>
        <v>-6.9975933915833788E-2</v>
      </c>
      <c r="BJ22" s="12">
        <f t="shared" si="78"/>
        <v>-0.24630788777377588</v>
      </c>
      <c r="BK22" s="12">
        <f t="shared" si="78"/>
        <v>-0.21283637488400875</v>
      </c>
      <c r="BL22" s="12">
        <f t="shared" si="78"/>
        <v>0.18093048842783643</v>
      </c>
      <c r="BM22" s="12">
        <f t="shared" si="78"/>
        <v>-1.3958440780608039E-2</v>
      </c>
      <c r="BN22" s="12">
        <f t="shared" si="78"/>
        <v>-0.11034622393197013</v>
      </c>
      <c r="BO22" s="12">
        <f t="shared" si="78"/>
        <v>-0.27495827643756632</v>
      </c>
      <c r="BP22" s="12">
        <f t="shared" si="78"/>
        <v>-0.10428197750457757</v>
      </c>
      <c r="BQ22" s="12">
        <f t="shared" si="78"/>
        <v>2.862891134908141E-2</v>
      </c>
      <c r="BR22" s="12">
        <f t="shared" si="78"/>
        <v>2.4571677589195984E-2</v>
      </c>
      <c r="BS22" s="12">
        <f t="shared" si="78"/>
        <v>1.9969280443506765E-2</v>
      </c>
      <c r="BT22" s="12">
        <f t="shared" si="78"/>
        <v>1.7562733280161114E-2</v>
      </c>
      <c r="BU22" s="12">
        <f t="shared" si="78"/>
        <v>1.7631049959175416E-2</v>
      </c>
      <c r="BV22" s="12">
        <f t="shared" ref="BV22:BZ22" si="79">BV6/BU6-1</f>
        <v>1.2616849398525032E-2</v>
      </c>
      <c r="BW22" s="12">
        <f t="shared" si="79"/>
        <v>1.2635929263947077E-2</v>
      </c>
      <c r="BX22" s="12">
        <f t="shared" si="79"/>
        <v>1.2655098215980098E-2</v>
      </c>
      <c r="BY22" s="12">
        <f t="shared" si="79"/>
        <v>1.2674355943174342E-2</v>
      </c>
      <c r="BZ22" s="12">
        <f t="shared" si="79"/>
        <v>1.2693702122531958E-2</v>
      </c>
    </row>
    <row r="23" spans="1:81" x14ac:dyDescent="0.3">
      <c r="B23" s="1" t="s">
        <v>52</v>
      </c>
      <c r="C23" s="8">
        <f>C8/C6</f>
        <v>0.31003055808717095</v>
      </c>
      <c r="D23" s="8">
        <f t="shared" ref="D23:G23" si="80">D8/D6</f>
        <v>0.34790778347907791</v>
      </c>
      <c r="E23" s="8">
        <f t="shared" si="80"/>
        <v>0.28404613851046656</v>
      </c>
      <c r="F23" s="8">
        <f t="shared" si="80"/>
        <v>0.27227319615614309</v>
      </c>
      <c r="G23" s="8">
        <f t="shared" si="80"/>
        <v>0.31378049391374035</v>
      </c>
      <c r="H23" s="8">
        <f t="shared" ref="H23:AH23" si="81">H8/H6</f>
        <v>0.31818181818181823</v>
      </c>
      <c r="I23" s="8">
        <f t="shared" si="81"/>
        <v>0.29739030685402917</v>
      </c>
      <c r="J23" s="8">
        <f t="shared" si="81"/>
        <v>0.28088950260349244</v>
      </c>
      <c r="K23" s="8">
        <f t="shared" si="81"/>
        <v>0.3101038532466272</v>
      </c>
      <c r="L23" s="8">
        <f t="shared" si="81"/>
        <v>0.32947386344287416</v>
      </c>
      <c r="M23" s="8">
        <f t="shared" si="81"/>
        <v>0.32515002727768683</v>
      </c>
      <c r="N23" s="8">
        <f t="shared" si="81"/>
        <v>0.29594326241134744</v>
      </c>
      <c r="O23" s="8">
        <f t="shared" si="81"/>
        <v>0.34263251331473499</v>
      </c>
      <c r="P23" s="8">
        <f t="shared" si="81"/>
        <v>0.37853903664664784</v>
      </c>
      <c r="Q23" s="8">
        <f t="shared" si="81"/>
        <v>0.36147407104940793</v>
      </c>
      <c r="R23" s="8">
        <f t="shared" si="81"/>
        <v>0.33095816641492087</v>
      </c>
      <c r="S23" s="8">
        <f t="shared" si="81"/>
        <v>0.34336966616159148</v>
      </c>
      <c r="T23" s="8">
        <f t="shared" si="81"/>
        <v>0.36957809907561023</v>
      </c>
      <c r="U23" s="8">
        <f t="shared" si="81"/>
        <v>0.34667605350497832</v>
      </c>
      <c r="V23" s="8">
        <f t="shared" si="81"/>
        <v>0.2925053533190578</v>
      </c>
      <c r="W23" s="8">
        <f t="shared" si="81"/>
        <v>0.33986556359875902</v>
      </c>
      <c r="X23" s="8">
        <f t="shared" si="81"/>
        <v>0.36199672071415567</v>
      </c>
      <c r="Y23" s="8">
        <f t="shared" si="81"/>
        <v>0.28841583135269194</v>
      </c>
      <c r="Z23" s="8">
        <f t="shared" si="81"/>
        <v>0.24446620959843296</v>
      </c>
      <c r="AA23" s="8">
        <f t="shared" si="81"/>
        <v>0.30445176713833433</v>
      </c>
      <c r="AB23" s="8">
        <f t="shared" si="81"/>
        <v>0.3104145601617796</v>
      </c>
      <c r="AC23" s="8">
        <f t="shared" si="81"/>
        <v>0.30663885992353146</v>
      </c>
      <c r="AD23" s="8">
        <f t="shared" si="81"/>
        <v>0.2722300715555353</v>
      </c>
      <c r="AE23" s="8">
        <f t="shared" si="81"/>
        <v>0.27659157688540642</v>
      </c>
      <c r="AF23" s="8">
        <f t="shared" si="81"/>
        <v>0.26772823779193211</v>
      </c>
      <c r="AG23" s="8">
        <f t="shared" si="81"/>
        <v>0.27500746491490002</v>
      </c>
      <c r="AH23" s="8">
        <f t="shared" si="81"/>
        <v>0.21139437349795012</v>
      </c>
      <c r="AI23" s="8">
        <f t="shared" ref="AI23:AX23" si="82">AI8/AI6</f>
        <v>0.25853696741854632</v>
      </c>
      <c r="AJ23" s="8">
        <f t="shared" si="82"/>
        <v>0.27116782153118141</v>
      </c>
      <c r="AK23" s="8">
        <f t="shared" si="82"/>
        <v>0.24571957427117083</v>
      </c>
      <c r="AL23" s="8">
        <f t="shared" si="82"/>
        <v>0.16779803895470075</v>
      </c>
      <c r="AM23" s="8">
        <f t="shared" si="82"/>
        <v>0.21655542658154381</v>
      </c>
      <c r="AN23" s="8">
        <f t="shared" si="82"/>
        <v>0.24841549295774651</v>
      </c>
      <c r="AO23" s="8">
        <f t="shared" si="82"/>
        <v>0.24553119730185502</v>
      </c>
      <c r="AP23" s="8">
        <f t="shared" si="82"/>
        <v>0.22448796263025519</v>
      </c>
      <c r="AQ23" s="8">
        <f t="shared" si="82"/>
        <v>0.2322366825640611</v>
      </c>
      <c r="AR23" s="8">
        <f t="shared" si="82"/>
        <v>0.26284584980237152</v>
      </c>
      <c r="AS23" s="8">
        <f t="shared" si="82"/>
        <v>0.26133729017898538</v>
      </c>
      <c r="AT23" s="8">
        <f t="shared" si="82"/>
        <v>0.23371989295272069</v>
      </c>
      <c r="AU23" s="8">
        <f t="shared" si="82"/>
        <v>0.27727375822181904</v>
      </c>
      <c r="AV23" s="8">
        <f t="shared" si="82"/>
        <v>0.31166228234999371</v>
      </c>
      <c r="AW23" s="8">
        <f t="shared" si="82"/>
        <v>0.29896547715913058</v>
      </c>
      <c r="AX23" s="8">
        <f t="shared" si="82"/>
        <v>0.28333073444565715</v>
      </c>
      <c r="AY23" s="8">
        <f t="shared" ref="AY23:BB23" si="83">AY8/AY6</f>
        <v>0.28000000000000003</v>
      </c>
      <c r="AZ23" s="8">
        <f t="shared" si="83"/>
        <v>0.31</v>
      </c>
      <c r="BA23" s="8">
        <f t="shared" si="83"/>
        <v>0.3</v>
      </c>
      <c r="BB23" s="8">
        <f t="shared" si="83"/>
        <v>0.28000000000000003</v>
      </c>
      <c r="BD23" s="8">
        <f t="shared" ref="BD23:BU23" si="84">BD8/BD6</f>
        <v>0.2943857514243044</v>
      </c>
      <c r="BE23" s="8">
        <f t="shared" si="84"/>
        <v>0.29861230636833042</v>
      </c>
      <c r="BF23" s="8">
        <f t="shared" si="84"/>
        <v>0.31165766035156661</v>
      </c>
      <c r="BG23" s="8">
        <f t="shared" si="84"/>
        <v>0.34959746279580378</v>
      </c>
      <c r="BH23" s="8">
        <f t="shared" si="84"/>
        <v>0.32956442555774779</v>
      </c>
      <c r="BI23" s="8">
        <f t="shared" si="84"/>
        <v>0.29844622396288661</v>
      </c>
      <c r="BJ23" s="8">
        <f t="shared" si="84"/>
        <v>0.29519022579647386</v>
      </c>
      <c r="BK23" s="8">
        <f t="shared" si="84"/>
        <v>0.24745569570513562</v>
      </c>
      <c r="BL23" s="8">
        <f t="shared" si="84"/>
        <v>0.22423345034688155</v>
      </c>
      <c r="BM23" s="8">
        <f t="shared" si="84"/>
        <v>0.23144023756495913</v>
      </c>
      <c r="BN23" s="8">
        <f t="shared" si="84"/>
        <v>0.24544833864360482</v>
      </c>
      <c r="BO23" s="8">
        <f t="shared" si="84"/>
        <v>0.2913680355741563</v>
      </c>
      <c r="BP23" s="8">
        <f t="shared" si="84"/>
        <v>0.29048216731448195</v>
      </c>
      <c r="BQ23" s="8">
        <f t="shared" si="84"/>
        <v>0.31</v>
      </c>
      <c r="BR23" s="8">
        <f t="shared" si="84"/>
        <v>0.3199999999999999</v>
      </c>
      <c r="BS23" s="8">
        <f t="shared" si="84"/>
        <v>0.32</v>
      </c>
      <c r="BT23" s="8">
        <f t="shared" si="84"/>
        <v>0.31999999999999995</v>
      </c>
      <c r="BU23" s="8">
        <f t="shared" si="84"/>
        <v>0.3199999999999999</v>
      </c>
      <c r="BV23" s="8">
        <f t="shared" ref="BV23:BZ23" si="85">BV8/BV6</f>
        <v>0.31999999999999995</v>
      </c>
      <c r="BW23" s="8">
        <f t="shared" si="85"/>
        <v>0.3199999999999999</v>
      </c>
      <c r="BX23" s="8">
        <f t="shared" si="85"/>
        <v>0.3199999999999999</v>
      </c>
      <c r="BY23" s="8">
        <f t="shared" si="85"/>
        <v>0.31999999999999995</v>
      </c>
      <c r="BZ23" s="8">
        <f t="shared" si="85"/>
        <v>0.31999999999999995</v>
      </c>
    </row>
    <row r="24" spans="1:81" x14ac:dyDescent="0.3">
      <c r="B24" t="s">
        <v>54</v>
      </c>
      <c r="C24" s="8">
        <f>C11/C6</f>
        <v>4.6748512303650867E-2</v>
      </c>
      <c r="D24" s="8">
        <f t="shared" ref="D24:G24" si="86">D11/D6</f>
        <v>1.358676013586765E-2</v>
      </c>
      <c r="E24" s="8">
        <f t="shared" si="86"/>
        <v>5.1787155266530535E-2</v>
      </c>
      <c r="F24" s="8">
        <f t="shared" si="86"/>
        <v>9.7290840979423407E-2</v>
      </c>
      <c r="G24" s="8">
        <f t="shared" si="86"/>
        <v>5.3048139057255854E-2</v>
      </c>
      <c r="H24" s="8">
        <f t="shared" ref="H24:AH24" si="87">H11/H6</f>
        <v>2.1196719417812242E-2</v>
      </c>
      <c r="I24" s="8">
        <f t="shared" si="87"/>
        <v>4.2921326832998673E-2</v>
      </c>
      <c r="J24" s="8">
        <f t="shared" si="87"/>
        <v>0.11101521820430947</v>
      </c>
      <c r="K24" s="8">
        <f t="shared" si="87"/>
        <v>6.0128118023876541E-2</v>
      </c>
      <c r="L24" s="8">
        <f t="shared" si="87"/>
        <v>2.9343322549520396E-2</v>
      </c>
      <c r="M24" s="8">
        <f t="shared" si="87"/>
        <v>4.4983385408917276E-2</v>
      </c>
      <c r="N24" s="8">
        <f t="shared" si="87"/>
        <v>0.10834042553191485</v>
      </c>
      <c r="O24" s="8">
        <f t="shared" si="87"/>
        <v>5.7823991884352041E-2</v>
      </c>
      <c r="P24" s="8">
        <f t="shared" si="87"/>
        <v>3.5727417575683269E-2</v>
      </c>
      <c r="Q24" s="8">
        <f t="shared" si="87"/>
        <v>5.0428746427113119E-2</v>
      </c>
      <c r="R24" s="8">
        <f t="shared" si="87"/>
        <v>9.4109148223550321E-2</v>
      </c>
      <c r="S24" s="8">
        <f t="shared" si="87"/>
        <v>4.9415904980693086E-2</v>
      </c>
      <c r="T24" s="8">
        <f t="shared" si="87"/>
        <v>2.583550604408618E-2</v>
      </c>
      <c r="U24" s="8">
        <f t="shared" si="87"/>
        <v>4.405109121995366E-2</v>
      </c>
      <c r="V24" s="8">
        <f t="shared" si="87"/>
        <v>-2.7608850820842253E-2</v>
      </c>
      <c r="W24" s="8">
        <f t="shared" si="87"/>
        <v>2.9524301964839673E-2</v>
      </c>
      <c r="X24" s="8">
        <f t="shared" si="87"/>
        <v>1.3117143377664528E-2</v>
      </c>
      <c r="Y24" s="8">
        <f t="shared" si="87"/>
        <v>-0.39857393820398879</v>
      </c>
      <c r="Z24" s="8">
        <f t="shared" si="87"/>
        <v>-4.4498857329415532E-2</v>
      </c>
      <c r="AA24" s="8">
        <f t="shared" si="87"/>
        <v>1.0854816824966116E-2</v>
      </c>
      <c r="AB24" s="8">
        <f t="shared" si="87"/>
        <v>-0.3487594306603406</v>
      </c>
      <c r="AC24" s="8">
        <f t="shared" si="87"/>
        <v>-3.1838720889815778E-2</v>
      </c>
      <c r="AD24" s="8">
        <f t="shared" si="87"/>
        <v>3.2496239916138724E-2</v>
      </c>
      <c r="AE24" s="8">
        <f t="shared" si="87"/>
        <v>-0.10636630754162588</v>
      </c>
      <c r="AF24" s="8">
        <f t="shared" si="87"/>
        <v>-9.1188959660297192E-2</v>
      </c>
      <c r="AG24" s="8">
        <f t="shared" si="87"/>
        <v>-6.2705285159749088E-2</v>
      </c>
      <c r="AH24" s="8">
        <f t="shared" si="87"/>
        <v>8.8591489562225567E-3</v>
      </c>
      <c r="AI24" s="8">
        <f>AI11/AI6</f>
        <v>-3.1954887218045194E-2</v>
      </c>
      <c r="AJ24" s="8">
        <f>AJ12/AJ6</f>
        <v>-4.2251140780801081E-4</v>
      </c>
      <c r="AK24" s="8">
        <f>AK12/AK6</f>
        <v>-6.1699830325466607E-4</v>
      </c>
      <c r="AL24" s="8">
        <f>AL12/AL6</f>
        <v>-3.993078663649674E-4</v>
      </c>
      <c r="AM24" s="8">
        <f t="shared" ref="AM24:AX24" si="88">AM11/AM6</f>
        <v>-0.11150609402205454</v>
      </c>
      <c r="AN24" s="8">
        <f t="shared" si="88"/>
        <v>-9.2693661971830946E-2</v>
      </c>
      <c r="AO24" s="8">
        <f t="shared" si="88"/>
        <v>-8.1534569983136532E-2</v>
      </c>
      <c r="AP24" s="8">
        <f t="shared" si="88"/>
        <v>1.9538268056054714E-2</v>
      </c>
      <c r="AQ24" s="8">
        <f t="shared" si="88"/>
        <v>-4.7207178077762542E-2</v>
      </c>
      <c r="AR24" s="8">
        <f t="shared" si="88"/>
        <v>-1.4263619178553037E-2</v>
      </c>
      <c r="AS24" s="8">
        <f t="shared" si="88"/>
        <v>-1.3632569785773947E-2</v>
      </c>
      <c r="AT24" s="8">
        <f t="shared" si="88"/>
        <v>3.077609277430856E-2</v>
      </c>
      <c r="AU24" s="8">
        <f t="shared" si="88"/>
        <v>-5.7382626445906131E-2</v>
      </c>
      <c r="AV24" s="8">
        <f t="shared" si="88"/>
        <v>-2.7558561944131352E-2</v>
      </c>
      <c r="AW24" s="8">
        <f t="shared" si="88"/>
        <v>-3.8823666162966355E-2</v>
      </c>
      <c r="AX24" s="8">
        <f t="shared" si="88"/>
        <v>6.2217370965226788E-2</v>
      </c>
      <c r="AY24" s="8">
        <f t="shared" ref="AY24:BB24" si="89">AY11/AY6</f>
        <v>-4.3202605794741153E-2</v>
      </c>
      <c r="AZ24" s="8">
        <f t="shared" si="89"/>
        <v>-1.5720835905123028E-2</v>
      </c>
      <c r="BA24" s="8">
        <f t="shared" si="89"/>
        <v>4.6626099763574435E-3</v>
      </c>
      <c r="BB24" s="8">
        <f t="shared" si="89"/>
        <v>6.7953262830379182E-2</v>
      </c>
      <c r="BD24" s="8">
        <f t="shared" ref="BD24:BU24" si="90">BD11/BD6</f>
        <v>6.3443774545052192E-2</v>
      </c>
      <c r="BE24" s="8">
        <f t="shared" si="90"/>
        <v>6.6512478485370008E-2</v>
      </c>
      <c r="BF24" s="8">
        <f t="shared" si="90"/>
        <v>6.9224032978064384E-2</v>
      </c>
      <c r="BG24" s="8">
        <f t="shared" si="90"/>
        <v>6.4789321437284331E-2</v>
      </c>
      <c r="BH24" s="8">
        <f t="shared" si="90"/>
        <v>1.4699824382629095E-2</v>
      </c>
      <c r="BI24" s="8">
        <f t="shared" si="90"/>
        <v>-9.6630182653191982E-2</v>
      </c>
      <c r="BJ24" s="8">
        <f t="shared" si="90"/>
        <v>-6.2805443860191781E-2</v>
      </c>
      <c r="BK24" s="8">
        <f t="shared" si="90"/>
        <v>-4.6897717002632865E-2</v>
      </c>
      <c r="BL24" s="8">
        <f t="shared" si="90"/>
        <v>-6.0292478413495734E-2</v>
      </c>
      <c r="BM24" s="8">
        <f t="shared" si="90"/>
        <v>-5.2675980292906793E-2</v>
      </c>
      <c r="BN24" s="8">
        <f t="shared" si="90"/>
        <v>-6.5430131998180721E-3</v>
      </c>
      <c r="BO24" s="8">
        <f t="shared" si="90"/>
        <v>-6.8532566047607782E-3</v>
      </c>
      <c r="BP24" s="8">
        <f t="shared" si="90"/>
        <v>1.2305122461912222E-2</v>
      </c>
      <c r="BQ24" s="8">
        <f t="shared" si="90"/>
        <v>0.06</v>
      </c>
      <c r="BR24" s="8">
        <f t="shared" si="90"/>
        <v>6.9999999999999896E-2</v>
      </c>
      <c r="BS24" s="8">
        <f t="shared" si="90"/>
        <v>6.9999999999999979E-2</v>
      </c>
      <c r="BT24" s="8">
        <f t="shared" si="90"/>
        <v>6.9999999999999965E-2</v>
      </c>
      <c r="BU24" s="8">
        <f t="shared" si="90"/>
        <v>6.9999999999999923E-2</v>
      </c>
      <c r="BV24" s="8">
        <f t="shared" ref="BV24:BZ24" si="91">BV11/BV6</f>
        <v>6.9999999999999979E-2</v>
      </c>
      <c r="BW24" s="8">
        <f t="shared" si="91"/>
        <v>6.9999999999999923E-2</v>
      </c>
      <c r="BX24" s="8">
        <f t="shared" si="91"/>
        <v>6.9999999999999896E-2</v>
      </c>
      <c r="BY24" s="8">
        <f t="shared" si="91"/>
        <v>6.9999999999999937E-2</v>
      </c>
      <c r="BZ24" s="8">
        <f t="shared" si="91"/>
        <v>6.9999999999999979E-2</v>
      </c>
    </row>
    <row r="25" spans="1:81" x14ac:dyDescent="0.3">
      <c r="B25" t="s">
        <v>69</v>
      </c>
      <c r="C25" s="8"/>
      <c r="D25" s="8"/>
      <c r="E25" s="8"/>
      <c r="F25" s="8"/>
      <c r="G25" s="8">
        <f t="shared" ref="G25:AH25" si="92">G9/C9-1</f>
        <v>7.0792520035618978E-2</v>
      </c>
      <c r="H25" s="8">
        <f t="shared" si="92"/>
        <v>0.12760910815939264</v>
      </c>
      <c r="I25" s="8">
        <f t="shared" si="92"/>
        <v>0.10211817168338899</v>
      </c>
      <c r="J25" s="8">
        <f t="shared" si="92"/>
        <v>-3.9783632873844121E-2</v>
      </c>
      <c r="K25" s="8">
        <f t="shared" si="92"/>
        <v>-3.5343035343035067E-3</v>
      </c>
      <c r="L25" s="8">
        <f t="shared" si="92"/>
        <v>3.2393773664282755E-2</v>
      </c>
      <c r="M25" s="8">
        <f t="shared" si="92"/>
        <v>6.3119563018409819E-2</v>
      </c>
      <c r="N25" s="8">
        <f t="shared" si="92"/>
        <v>0.11557332364165007</v>
      </c>
      <c r="O25" s="8">
        <f t="shared" si="92"/>
        <v>8.6584602545378475E-2</v>
      </c>
      <c r="P25" s="8">
        <f t="shared" si="92"/>
        <v>5.623471882640585E-2</v>
      </c>
      <c r="Q25" s="8">
        <f t="shared" si="92"/>
        <v>7.9162702188392053E-2</v>
      </c>
      <c r="R25" s="8">
        <f t="shared" si="92"/>
        <v>5.2777325297279631E-2</v>
      </c>
      <c r="S25" s="8">
        <f t="shared" si="92"/>
        <v>8.1989247311827995E-2</v>
      </c>
      <c r="T25" s="8">
        <f t="shared" si="92"/>
        <v>4.629629629629628E-2</v>
      </c>
      <c r="U25" s="8">
        <f t="shared" si="92"/>
        <v>-3.5267148651031421E-3</v>
      </c>
      <c r="V25" s="8">
        <f t="shared" si="92"/>
        <v>7.0710196503172007E-2</v>
      </c>
      <c r="W25" s="8">
        <f t="shared" si="92"/>
        <v>4.6140195208519419E-3</v>
      </c>
      <c r="X25" s="8">
        <f t="shared" si="92"/>
        <v>-1.8436578171099338E-4</v>
      </c>
      <c r="Y25" s="8">
        <f t="shared" si="92"/>
        <v>-0.17961422757034151</v>
      </c>
      <c r="Z25" s="8">
        <f t="shared" si="92"/>
        <v>-0.20158959537572252</v>
      </c>
      <c r="AA25" s="8">
        <f t="shared" si="92"/>
        <v>-0.19855149266913974</v>
      </c>
      <c r="AB25" s="8">
        <f t="shared" si="92"/>
        <v>-0.11137746634704038</v>
      </c>
      <c r="AC25" s="8">
        <f t="shared" si="92"/>
        <v>-2.5452976704055219E-2</v>
      </c>
      <c r="AD25" s="8">
        <f t="shared" si="92"/>
        <v>-7.3846153846153895E-2</v>
      </c>
      <c r="AE25" s="8">
        <f t="shared" si="92"/>
        <v>-0.1481154948203659</v>
      </c>
      <c r="AF25" s="8">
        <f t="shared" si="92"/>
        <v>-0.27744345299854745</v>
      </c>
      <c r="AG25" s="8">
        <f t="shared" si="92"/>
        <v>-0.20230190349712274</v>
      </c>
      <c r="AH25" s="8">
        <f t="shared" si="92"/>
        <v>-0.18096540941958172</v>
      </c>
      <c r="AI25" s="8">
        <f t="shared" ref="AI25:AX25" si="93">AI9/AE9-1</f>
        <v>-4.1914618369987E-2</v>
      </c>
      <c r="AJ25" s="8">
        <f t="shared" si="93"/>
        <v>8.816771970132109E-2</v>
      </c>
      <c r="AK25" s="8">
        <f t="shared" si="93"/>
        <v>0.16953385127635978</v>
      </c>
      <c r="AL25" s="8">
        <f t="shared" si="93"/>
        <v>0.2858506323073251</v>
      </c>
      <c r="AM25" s="8">
        <f t="shared" si="93"/>
        <v>0.22117202268430991</v>
      </c>
      <c r="AN25" s="8">
        <f t="shared" si="93"/>
        <v>2.2697281604645125E-2</v>
      </c>
      <c r="AO25" s="8">
        <f t="shared" si="93"/>
        <v>-7.9715302491103257E-2</v>
      </c>
      <c r="AP25" s="8">
        <f t="shared" si="93"/>
        <v>-0.15828539617739845</v>
      </c>
      <c r="AQ25" s="8">
        <f t="shared" si="93"/>
        <v>-0.23551525873507295</v>
      </c>
      <c r="AR25" s="8">
        <f t="shared" si="93"/>
        <v>-0.16774193548387095</v>
      </c>
      <c r="AS25" s="8">
        <f t="shared" si="93"/>
        <v>-0.23562773910801749</v>
      </c>
      <c r="AT25" s="8">
        <f t="shared" si="93"/>
        <v>-0.20811287477954143</v>
      </c>
      <c r="AU25" s="8">
        <f t="shared" si="93"/>
        <v>-0.14636968469771472</v>
      </c>
      <c r="AV25" s="8">
        <f t="shared" si="93"/>
        <v>-0.16031007751937976</v>
      </c>
      <c r="AW25" s="8">
        <f t="shared" si="93"/>
        <v>-4.8903878583473892E-2</v>
      </c>
      <c r="AX25" s="8">
        <f t="shared" si="93"/>
        <v>-0.21353006681514475</v>
      </c>
      <c r="AY25" s="8">
        <f t="shared" ref="AY25" si="94">AY9/AU9-1</f>
        <v>-0.19999999999999996</v>
      </c>
      <c r="AZ25" s="8">
        <f t="shared" ref="AZ25" si="95">AZ9/AV9-1</f>
        <v>-0.19999999999999996</v>
      </c>
      <c r="BA25" s="8">
        <f t="shared" ref="BA25" si="96">BA9/AW9-1</f>
        <v>-0.19999999999999996</v>
      </c>
      <c r="BB25" s="8">
        <f t="shared" ref="BB25" si="97">BB9/AX9-1</f>
        <v>-9.9999999999999978E-2</v>
      </c>
      <c r="BD25" s="8"/>
      <c r="BE25" s="8">
        <f t="shared" ref="BE25:BU25" si="98">BE9/BD9-1</f>
        <v>5.7387444514901631E-2</v>
      </c>
      <c r="BF25" s="8">
        <f t="shared" si="98"/>
        <v>5.4222888555722104E-2</v>
      </c>
      <c r="BG25" s="8">
        <f t="shared" si="98"/>
        <v>6.7835980090068526E-2</v>
      </c>
      <c r="BH25" s="8">
        <f t="shared" si="98"/>
        <v>4.9010032850927976E-2</v>
      </c>
      <c r="BI25" s="8">
        <f t="shared" si="98"/>
        <v>-0.10093101988997033</v>
      </c>
      <c r="BJ25" s="8">
        <f t="shared" si="98"/>
        <v>-0.10609555189456343</v>
      </c>
      <c r="BK25" s="8">
        <f t="shared" si="98"/>
        <v>-0.20267495129271762</v>
      </c>
      <c r="BL25" s="8">
        <f t="shared" si="98"/>
        <v>0.12904504028529917</v>
      </c>
      <c r="BM25" s="8">
        <f t="shared" si="98"/>
        <v>-1.6612072999532157E-2</v>
      </c>
      <c r="BN25" s="8">
        <f t="shared" si="98"/>
        <v>-0.21252676659528891</v>
      </c>
      <c r="BO25" s="8">
        <f t="shared" si="98"/>
        <v>-0.14615907545887152</v>
      </c>
      <c r="BP25" s="8">
        <f t="shared" si="98"/>
        <v>-0.17500884642604386</v>
      </c>
      <c r="BQ25" s="8">
        <f t="shared" si="98"/>
        <v>-5.5737145737049243E-2</v>
      </c>
      <c r="BR25" s="8">
        <f t="shared" si="98"/>
        <v>2.4571677589195984E-2</v>
      </c>
      <c r="BS25" s="8">
        <f t="shared" si="98"/>
        <v>1.9969280443506765E-2</v>
      </c>
      <c r="BT25" s="8">
        <f t="shared" si="98"/>
        <v>1.7562733280161114E-2</v>
      </c>
      <c r="BU25" s="8">
        <f t="shared" si="98"/>
        <v>1.7631049959175416E-2</v>
      </c>
      <c r="BV25" s="8">
        <f t="shared" ref="BV25:BZ25" si="99">BV9/BU9-1</f>
        <v>1.2616849398525032E-2</v>
      </c>
      <c r="BW25" s="8">
        <f t="shared" si="99"/>
        <v>1.2635929263947077E-2</v>
      </c>
      <c r="BX25" s="8">
        <f t="shared" si="99"/>
        <v>1.2655098215980098E-2</v>
      </c>
      <c r="BY25" s="8">
        <f t="shared" si="99"/>
        <v>1.2674355943174342E-2</v>
      </c>
      <c r="BZ25" s="8">
        <f t="shared" si="99"/>
        <v>1.2693702122531958E-2</v>
      </c>
    </row>
    <row r="26" spans="1:81" x14ac:dyDescent="0.3">
      <c r="B26" t="s">
        <v>68</v>
      </c>
      <c r="C26" s="8">
        <f>C9/C6</f>
        <v>0.24081917117889884</v>
      </c>
      <c r="D26" s="8">
        <f t="shared" ref="D26:AH26" si="100">D9/D6</f>
        <v>0.30469032304690324</v>
      </c>
      <c r="E26" s="8">
        <f t="shared" si="100"/>
        <v>0.21289220107276785</v>
      </c>
      <c r="F26" s="8">
        <f t="shared" si="100"/>
        <v>0.15557304956838047</v>
      </c>
      <c r="G26" s="8">
        <f t="shared" si="100"/>
        <v>0.24094574963682813</v>
      </c>
      <c r="H26" s="8">
        <f t="shared" si="100"/>
        <v>0.27457548804435716</v>
      </c>
      <c r="I26" s="8">
        <f t="shared" si="100"/>
        <v>0.23625848389255333</v>
      </c>
      <c r="J26" s="8">
        <f t="shared" si="100"/>
        <v>0.15830959983889992</v>
      </c>
      <c r="K26" s="8">
        <f t="shared" si="100"/>
        <v>0.23260215471221976</v>
      </c>
      <c r="L26" s="8">
        <f t="shared" si="100"/>
        <v>0.27856291503490549</v>
      </c>
      <c r="M26" s="8">
        <f t="shared" si="100"/>
        <v>0.26062589892377125</v>
      </c>
      <c r="N26" s="8">
        <f t="shared" si="100"/>
        <v>0.17415602836879432</v>
      </c>
      <c r="O26" s="8">
        <f t="shared" si="100"/>
        <v>0.26416434187167132</v>
      </c>
      <c r="P26" s="8">
        <f t="shared" si="100"/>
        <v>0.31768599093026106</v>
      </c>
      <c r="Q26" s="8">
        <f t="shared" si="100"/>
        <v>0.28945487954267046</v>
      </c>
      <c r="R26" s="8">
        <f t="shared" si="100"/>
        <v>0.21222171143363761</v>
      </c>
      <c r="S26" s="8">
        <f t="shared" si="100"/>
        <v>0.27542890659367514</v>
      </c>
      <c r="T26" s="8">
        <f t="shared" si="100"/>
        <v>0.3214031761080825</v>
      </c>
      <c r="U26" s="8">
        <f t="shared" si="100"/>
        <v>0.28416976767575181</v>
      </c>
      <c r="V26" s="8">
        <f t="shared" si="100"/>
        <v>0.19757316202712349</v>
      </c>
      <c r="W26" s="8">
        <f t="shared" si="100"/>
        <v>0.29270941054808686</v>
      </c>
      <c r="X26" s="8">
        <f t="shared" si="100"/>
        <v>0.32932531730126918</v>
      </c>
      <c r="Y26" s="8">
        <f t="shared" si="100"/>
        <v>0.23953704660535291</v>
      </c>
      <c r="Z26" s="8">
        <f t="shared" si="100"/>
        <v>0.18037871367939928</v>
      </c>
      <c r="AA26" s="8">
        <f t="shared" si="100"/>
        <v>0.2931446662789946</v>
      </c>
      <c r="AB26" s="8">
        <f t="shared" si="100"/>
        <v>0.37481527572528578</v>
      </c>
      <c r="AC26" s="8">
        <f t="shared" si="100"/>
        <v>0.31407716371220024</v>
      </c>
      <c r="AD26" s="8">
        <f t="shared" si="100"/>
        <v>0.23321635294653845</v>
      </c>
      <c r="AE26" s="8">
        <f t="shared" si="100"/>
        <v>0.37855044074436828</v>
      </c>
      <c r="AF26" s="8">
        <f t="shared" si="100"/>
        <v>0.36963906581740974</v>
      </c>
      <c r="AG26" s="8">
        <f t="shared" si="100"/>
        <v>0.35871404399323176</v>
      </c>
      <c r="AH26" s="8">
        <f t="shared" si="100"/>
        <v>0.19749304933792</v>
      </c>
      <c r="AI26" s="8">
        <f t="shared" ref="AI26:AX26" si="101">AI9/AI6</f>
        <v>0.29002192982456143</v>
      </c>
      <c r="AJ26" s="8">
        <f t="shared" si="101"/>
        <v>0.32017914483691057</v>
      </c>
      <c r="AK26" s="8">
        <f t="shared" si="101"/>
        <v>0.32508098102730215</v>
      </c>
      <c r="AL26" s="8">
        <f t="shared" si="101"/>
        <v>0.23909667687120101</v>
      </c>
      <c r="AM26" s="8">
        <f t="shared" si="101"/>
        <v>0.32806152060359833</v>
      </c>
      <c r="AN26" s="8">
        <f t="shared" si="101"/>
        <v>0.34110915492957744</v>
      </c>
      <c r="AO26" s="8">
        <f t="shared" si="101"/>
        <v>0.32706576728499154</v>
      </c>
      <c r="AP26" s="8">
        <f t="shared" si="101"/>
        <v>0.2037369744879626</v>
      </c>
      <c r="AQ26" s="8">
        <f t="shared" si="101"/>
        <v>0.27944386064182364</v>
      </c>
      <c r="AR26" s="8">
        <f t="shared" si="101"/>
        <v>0.27710946898092459</v>
      </c>
      <c r="AS26" s="8">
        <f t="shared" si="101"/>
        <v>0.27496985996475937</v>
      </c>
      <c r="AT26" s="8">
        <f t="shared" si="101"/>
        <v>0.20026761819803748</v>
      </c>
      <c r="AU26" s="8">
        <f t="shared" si="101"/>
        <v>0.33465638466772513</v>
      </c>
      <c r="AV26" s="8">
        <f t="shared" si="101"/>
        <v>0.33922084429412502</v>
      </c>
      <c r="AW26" s="8">
        <f t="shared" si="101"/>
        <v>0.32779263047774032</v>
      </c>
      <c r="AX26" s="8">
        <f t="shared" si="101"/>
        <v>0.22025573054732575</v>
      </c>
      <c r="AY26" s="8">
        <f t="shared" ref="AY26:BB26" si="102">AY9/AY6</f>
        <v>0.31006855972050756</v>
      </c>
      <c r="AZ26" s="8">
        <f t="shared" si="102"/>
        <v>0.31837286541457249</v>
      </c>
      <c r="BA26" s="8">
        <f t="shared" si="102"/>
        <v>0.29146157125692806</v>
      </c>
      <c r="BB26" s="8">
        <f t="shared" si="102"/>
        <v>0.21039173824537014</v>
      </c>
      <c r="BD26" s="8"/>
      <c r="BE26" s="8">
        <f t="shared" ref="BE26:BU26" si="103">BE9/BE6</f>
        <v>0.21525387263339071</v>
      </c>
      <c r="BF26" s="8">
        <f t="shared" si="103"/>
        <v>0.22528247079177258</v>
      </c>
      <c r="BG26" s="8">
        <f t="shared" si="103"/>
        <v>0.26168984305115062</v>
      </c>
      <c r="BH26" s="8">
        <f t="shared" si="103"/>
        <v>0.25616286885068185</v>
      </c>
      <c r="BI26" s="8">
        <f t="shared" si="103"/>
        <v>0.2476366984881864</v>
      </c>
      <c r="BJ26" s="8">
        <f t="shared" si="103"/>
        <v>0.29370553665326321</v>
      </c>
      <c r="BK26" s="8">
        <f t="shared" si="103"/>
        <v>0.29749695469370113</v>
      </c>
      <c r="BL26" s="8">
        <f t="shared" si="103"/>
        <v>0.28442610677624897</v>
      </c>
      <c r="BM26" s="8">
        <f t="shared" si="103"/>
        <v>0.28366066005264218</v>
      </c>
      <c r="BN26" s="8">
        <f t="shared" si="103"/>
        <v>0.2510810195721439</v>
      </c>
      <c r="BO26" s="8">
        <f t="shared" si="103"/>
        <v>0.29568401778707826</v>
      </c>
      <c r="BP26" s="8">
        <f t="shared" si="103"/>
        <v>0.27233648626154605</v>
      </c>
      <c r="BQ26" s="8">
        <f t="shared" si="103"/>
        <v>0.25</v>
      </c>
      <c r="BR26" s="8">
        <f t="shared" si="103"/>
        <v>0.25</v>
      </c>
      <c r="BS26" s="8">
        <f t="shared" si="103"/>
        <v>0.25</v>
      </c>
      <c r="BT26" s="8">
        <f t="shared" si="103"/>
        <v>0.25</v>
      </c>
      <c r="BU26" s="8">
        <f t="shared" si="103"/>
        <v>0.25</v>
      </c>
      <c r="BV26" s="8">
        <f t="shared" ref="BV26:BZ26" si="104">BV9/BV6</f>
        <v>0.25</v>
      </c>
      <c r="BW26" s="8">
        <f t="shared" si="104"/>
        <v>0.25</v>
      </c>
      <c r="BX26" s="8">
        <f t="shared" si="104"/>
        <v>0.25</v>
      </c>
      <c r="BY26" s="8">
        <f t="shared" si="104"/>
        <v>0.25</v>
      </c>
      <c r="BZ26" s="8">
        <f t="shared" si="104"/>
        <v>0.25</v>
      </c>
    </row>
    <row r="27" spans="1:81" x14ac:dyDescent="0.3">
      <c r="B27" t="s">
        <v>49</v>
      </c>
      <c r="C27" s="8">
        <f>C14/C13</f>
        <v>0.36732329084588661</v>
      </c>
      <c r="D27" s="8">
        <f t="shared" ref="D27:G27" si="105">D14/D13</f>
        <v>0.39999999999999847</v>
      </c>
      <c r="E27" s="8">
        <f t="shared" si="105"/>
        <v>0.36715867158671628</v>
      </c>
      <c r="F27" s="8">
        <f t="shared" si="105"/>
        <v>0.38166012338754912</v>
      </c>
      <c r="G27" s="8">
        <f t="shared" si="105"/>
        <v>0.35422602089268795</v>
      </c>
      <c r="H27" s="8">
        <f t="shared" ref="H27:AH27" si="106">H14/H13</f>
        <v>0.3089887640449428</v>
      </c>
      <c r="I27" s="8">
        <f t="shared" si="106"/>
        <v>0.34948096885813223</v>
      </c>
      <c r="J27" s="8">
        <f t="shared" si="106"/>
        <v>0.35881271342264232</v>
      </c>
      <c r="K27" s="8">
        <f t="shared" si="106"/>
        <v>0.37721518987341779</v>
      </c>
      <c r="L27" s="8">
        <f t="shared" si="106"/>
        <v>0.45119305856832986</v>
      </c>
      <c r="M27" s="8">
        <f t="shared" si="106"/>
        <v>0.33610451306413341</v>
      </c>
      <c r="N27" s="8">
        <f t="shared" si="106"/>
        <v>0.34165781083953251</v>
      </c>
      <c r="O27" s="8">
        <f t="shared" si="106"/>
        <v>0.36240310077519361</v>
      </c>
      <c r="P27" s="8">
        <f t="shared" si="106"/>
        <v>0.37583892617449705</v>
      </c>
      <c r="Q27" s="8">
        <f t="shared" si="106"/>
        <v>0.39523809523809511</v>
      </c>
      <c r="R27" s="8">
        <f t="shared" si="106"/>
        <v>0.23497067448680339</v>
      </c>
      <c r="S27" s="8">
        <f t="shared" si="106"/>
        <v>0.3233944954128441</v>
      </c>
      <c r="T27" s="8">
        <f t="shared" si="106"/>
        <v>0.23972602739726159</v>
      </c>
      <c r="U27" s="8">
        <f t="shared" si="106"/>
        <v>0.19402985074626911</v>
      </c>
      <c r="V27" s="8">
        <f t="shared" si="106"/>
        <v>3.5519125683060114E-2</v>
      </c>
      <c r="W27" s="8">
        <f t="shared" si="106"/>
        <v>0.35023041474654432</v>
      </c>
      <c r="X27" s="8">
        <f t="shared" si="106"/>
        <v>4.2337662337661355</v>
      </c>
      <c r="Y27" s="8">
        <f t="shared" si="106"/>
        <v>-3.465346534653465E-2</v>
      </c>
      <c r="Z27" s="8">
        <f t="shared" si="106"/>
        <v>-0.17643051771117191</v>
      </c>
      <c r="AA27" s="8">
        <f t="shared" si="106"/>
        <v>0.25274725274725113</v>
      </c>
      <c r="AB27" s="8">
        <f t="shared" si="106"/>
        <v>8.8054457619675036E-2</v>
      </c>
      <c r="AC27" s="8">
        <f t="shared" si="106"/>
        <v>-0.61003861003861015</v>
      </c>
      <c r="AD27" s="8">
        <f t="shared" si="106"/>
        <v>0.67592592592592626</v>
      </c>
      <c r="AE27" s="8">
        <f t="shared" si="106"/>
        <v>-0.43712055507372061</v>
      </c>
      <c r="AF27" s="8">
        <f t="shared" si="106"/>
        <v>-0.19164882226980737</v>
      </c>
      <c r="AG27" s="8">
        <f t="shared" si="106"/>
        <v>0.74140302613480147</v>
      </c>
      <c r="AH27" s="8">
        <f t="shared" si="106"/>
        <v>-6.5943396226415798</v>
      </c>
      <c r="AI27" s="8">
        <f t="shared" ref="AI27" si="107">AI14/AI13</f>
        <v>-1.9847328244274778E-2</v>
      </c>
      <c r="AJ27" s="8">
        <f>AJ15/AJ14</f>
        <v>-19.870967741935448</v>
      </c>
      <c r="AK27" s="8">
        <f>AK15/AK14</f>
        <v>-61.999999999999922</v>
      </c>
      <c r="AL27" s="8">
        <f>AL15/AL14</f>
        <v>6.9999999999999973</v>
      </c>
      <c r="AM27" s="8">
        <f t="shared" ref="AM27:AX27" si="108">AM14/AM13</f>
        <v>-2.2668393782383424E-2</v>
      </c>
      <c r="AN27" s="8">
        <f t="shared" si="108"/>
        <v>-1.1428571428571432E-2</v>
      </c>
      <c r="AO27" s="8">
        <f t="shared" si="108"/>
        <v>-2.2580645161290342E-2</v>
      </c>
      <c r="AP27" s="8">
        <f t="shared" si="108"/>
        <v>8.4507042253520764E-2</v>
      </c>
      <c r="AQ27" s="8">
        <f t="shared" si="108"/>
        <v>-1.9762845849802357E-3</v>
      </c>
      <c r="AR27" s="8">
        <f t="shared" si="108"/>
        <v>6.6666666666666152E-2</v>
      </c>
      <c r="AS27" s="8">
        <f t="shared" si="108"/>
        <v>0.27906976744185752</v>
      </c>
      <c r="AT27" s="8">
        <f t="shared" si="108"/>
        <v>0.11126760563380308</v>
      </c>
      <c r="AU27" s="8">
        <f t="shared" si="108"/>
        <v>9.5238095238095177E-2</v>
      </c>
      <c r="AV27" s="8">
        <f t="shared" si="108"/>
        <v>0.1542857142857148</v>
      </c>
      <c r="AW27" s="8">
        <f t="shared" si="108"/>
        <v>0.16346153846153808</v>
      </c>
      <c r="AX27" s="8">
        <f t="shared" si="108"/>
        <v>2.4517087667161985E-2</v>
      </c>
      <c r="AY27" s="8">
        <f t="shared" ref="AY27:BB27" si="109">AY14/AY13</f>
        <v>0.16</v>
      </c>
      <c r="AZ27" s="8">
        <f t="shared" si="109"/>
        <v>0.16</v>
      </c>
      <c r="BA27" s="8">
        <f t="shared" si="109"/>
        <v>0.16</v>
      </c>
      <c r="BB27" s="8">
        <f t="shared" si="109"/>
        <v>0.16</v>
      </c>
      <c r="BD27" s="8">
        <f t="shared" ref="BD27:BU27" si="110">BD14/BD13</f>
        <v>0.37728551336146321</v>
      </c>
      <c r="BE27" s="8">
        <f t="shared" si="110"/>
        <v>0.35377280946901218</v>
      </c>
      <c r="BF27" s="8">
        <f t="shared" si="110"/>
        <v>0.35572616762635995</v>
      </c>
      <c r="BG27" s="8">
        <f t="shared" si="110"/>
        <v>0.30017832375668724</v>
      </c>
      <c r="BH27" s="8">
        <f t="shared" si="110"/>
        <v>0.56787048567870235</v>
      </c>
      <c r="BI27" s="8">
        <f t="shared" si="110"/>
        <v>-0.11813545249673832</v>
      </c>
      <c r="BJ27" s="8">
        <f t="shared" si="110"/>
        <v>-8.6775905838910664E-2</v>
      </c>
      <c r="BK27" s="8">
        <f t="shared" si="110"/>
        <v>0.20494830132939384</v>
      </c>
      <c r="BL27" s="8">
        <f t="shared" si="110"/>
        <v>3.6632891660171578E-2</v>
      </c>
      <c r="BM27" s="8">
        <f t="shared" si="110"/>
        <v>-3.6339610175090853E-2</v>
      </c>
      <c r="BN27" s="8">
        <f t="shared" si="110"/>
        <v>0.50381679389315792</v>
      </c>
      <c r="BO27" s="8">
        <f t="shared" si="110"/>
        <v>4.3731778425656127E-2</v>
      </c>
      <c r="BP27" s="8">
        <f t="shared" si="110"/>
        <v>0.16000000000000003</v>
      </c>
      <c r="BQ27" s="8">
        <f t="shared" si="110"/>
        <v>0.17</v>
      </c>
      <c r="BR27" s="8">
        <f t="shared" si="110"/>
        <v>0.17</v>
      </c>
      <c r="BS27" s="8">
        <f t="shared" si="110"/>
        <v>0.17</v>
      </c>
      <c r="BT27" s="8">
        <f t="shared" si="110"/>
        <v>0.17</v>
      </c>
      <c r="BU27" s="8">
        <f t="shared" si="110"/>
        <v>0.17</v>
      </c>
      <c r="BV27" s="8">
        <f t="shared" ref="BV27:BZ27" si="111">BV14/BV13</f>
        <v>0.17</v>
      </c>
      <c r="BW27" s="8">
        <f t="shared" si="111"/>
        <v>0.17</v>
      </c>
      <c r="BX27" s="8">
        <f t="shared" si="111"/>
        <v>0.17</v>
      </c>
      <c r="BY27" s="8">
        <f t="shared" si="111"/>
        <v>0.17</v>
      </c>
      <c r="BZ27" s="8">
        <f t="shared" si="111"/>
        <v>0.17</v>
      </c>
    </row>
    <row r="28" spans="1:81" x14ac:dyDescent="0.3">
      <c r="B28" t="s">
        <v>74</v>
      </c>
      <c r="C28" s="8">
        <f>C15/C6</f>
        <v>2.9271430869029086E-2</v>
      </c>
      <c r="D28" s="8">
        <f t="shared" ref="D28:AH28" si="112">D15/D6</f>
        <v>7.5883500758835492E-3</v>
      </c>
      <c r="E28" s="8">
        <f t="shared" si="112"/>
        <v>3.2562775905444472E-2</v>
      </c>
      <c r="F28" s="8">
        <f t="shared" si="112"/>
        <v>5.9856669743199947E-2</v>
      </c>
      <c r="G28" s="8">
        <f t="shared" si="112"/>
        <v>3.4063016580674184E-2</v>
      </c>
      <c r="H28" s="8">
        <f t="shared" si="112"/>
        <v>1.4208155250086701E-2</v>
      </c>
      <c r="I28" s="8">
        <f t="shared" si="112"/>
        <v>2.6957269859477977E-2</v>
      </c>
      <c r="J28" s="8">
        <f t="shared" si="112"/>
        <v>7.0222375650873151E-2</v>
      </c>
      <c r="K28" s="8">
        <f t="shared" si="112"/>
        <v>3.5814811220032994E-2</v>
      </c>
      <c r="L28" s="8">
        <f t="shared" si="112"/>
        <v>1.4359498268914231E-2</v>
      </c>
      <c r="M28" s="8">
        <f t="shared" si="112"/>
        <v>2.77240490006447E-2</v>
      </c>
      <c r="N28" s="8">
        <f t="shared" si="112"/>
        <v>7.0297872340425491E-2</v>
      </c>
      <c r="O28" s="8">
        <f t="shared" si="112"/>
        <v>3.3375602333248815E-2</v>
      </c>
      <c r="P28" s="8">
        <f t="shared" si="112"/>
        <v>1.7097683539649439E-2</v>
      </c>
      <c r="Q28" s="8">
        <f t="shared" si="112"/>
        <v>2.5928950592078413E-2</v>
      </c>
      <c r="R28" s="8">
        <f t="shared" si="112"/>
        <v>6.8529585604518328E-2</v>
      </c>
      <c r="S28" s="8">
        <f t="shared" si="112"/>
        <v>2.8838164133144328E-2</v>
      </c>
      <c r="T28" s="8">
        <f t="shared" si="112"/>
        <v>1.3154776013273193E-2</v>
      </c>
      <c r="U28" s="8">
        <f t="shared" si="112"/>
        <v>2.9870260484763069E-2</v>
      </c>
      <c r="V28" s="8">
        <f t="shared" si="112"/>
        <v>-3.0235546038543892E-2</v>
      </c>
      <c r="W28" s="8">
        <f t="shared" si="112"/>
        <v>1.4581178903826233E-2</v>
      </c>
      <c r="X28" s="8">
        <f t="shared" si="112"/>
        <v>-1.5121151393696375E-2</v>
      </c>
      <c r="Y28" s="8">
        <f t="shared" si="112"/>
        <v>-0.39955564741138777</v>
      </c>
      <c r="Z28" s="8">
        <f t="shared" si="112"/>
        <v>-5.6382631407117134E-2</v>
      </c>
      <c r="AA28" s="8">
        <f t="shared" si="112"/>
        <v>4.3936163339148787E-3</v>
      </c>
      <c r="AB28" s="8">
        <f t="shared" si="112"/>
        <v>-0.32301470016333506</v>
      </c>
      <c r="AC28" s="8">
        <f t="shared" si="112"/>
        <v>-5.7977059436913454E-2</v>
      </c>
      <c r="AD28" s="8">
        <f t="shared" si="112"/>
        <v>9.5711225559454768E-3</v>
      </c>
      <c r="AE28" s="8">
        <f t="shared" si="112"/>
        <v>-0.16229187071498533</v>
      </c>
      <c r="AF28" s="8">
        <f t="shared" si="112"/>
        <v>-0.11815286624203816</v>
      </c>
      <c r="AG28" s="8">
        <f t="shared" si="112"/>
        <v>-1.8712053349258389E-2</v>
      </c>
      <c r="AH28" s="8">
        <f t="shared" si="112"/>
        <v>3.7934121860421229E-2</v>
      </c>
      <c r="AI28" s="8">
        <f>AI15/AI6</f>
        <v>-5.2318295739348451E-2</v>
      </c>
      <c r="AJ28" s="8">
        <f>AJ17/AJ6</f>
        <v>-7.1698905567419877E-4</v>
      </c>
      <c r="AK28" s="8">
        <f>AK17/AK6</f>
        <v>-1.0710082536732823E-3</v>
      </c>
      <c r="AL28" s="8">
        <f>AL17/AL6</f>
        <v>-8.2655734598164774E-4</v>
      </c>
      <c r="AM28" s="8">
        <f t="shared" ref="AM28:AX28" si="113">AM15/AM6</f>
        <v>-0.11455310504933254</v>
      </c>
      <c r="AN28" s="8">
        <f t="shared" si="113"/>
        <v>-9.3485915492957705E-2</v>
      </c>
      <c r="AO28" s="8">
        <f t="shared" si="113"/>
        <v>-8.0185497470488976E-2</v>
      </c>
      <c r="AP28" s="8">
        <f t="shared" si="113"/>
        <v>2.0436579231045728E-2</v>
      </c>
      <c r="AQ28" s="8">
        <f t="shared" si="113"/>
        <v>-4.0982943981893172E-2</v>
      </c>
      <c r="AR28" s="8">
        <f t="shared" si="113"/>
        <v>-2.405911668671613E-3</v>
      </c>
      <c r="AS28" s="8">
        <f t="shared" si="113"/>
        <v>-2.874895669108824E-3</v>
      </c>
      <c r="AT28" s="8">
        <f t="shared" si="113"/>
        <v>3.5180642283675199E-2</v>
      </c>
      <c r="AU28" s="8">
        <f t="shared" si="113"/>
        <v>-3.662962122930373E-2</v>
      </c>
      <c r="AV28" s="8">
        <f t="shared" si="113"/>
        <v>1.8539396216960973E-2</v>
      </c>
      <c r="AW28" s="8">
        <f t="shared" si="113"/>
        <v>2.0225502731605307E-2</v>
      </c>
      <c r="AX28" s="8">
        <f t="shared" si="113"/>
        <v>0.10237018556057996</v>
      </c>
      <c r="AY28" s="8">
        <f t="shared" ref="AY28:BB28" si="114">AY15/AY6</f>
        <v>2.4389103995376794E-2</v>
      </c>
      <c r="AZ28" s="8">
        <f t="shared" si="114"/>
        <v>5.4689745172383369E-2</v>
      </c>
      <c r="BA28" s="8">
        <f t="shared" si="114"/>
        <v>6.3604201387543066E-2</v>
      </c>
      <c r="BB28" s="8">
        <f t="shared" si="114"/>
        <v>9.5311215927709664E-2</v>
      </c>
      <c r="BD28" s="8">
        <f t="shared" ref="BD28:BU28" si="115">BD15/BD6</f>
        <v>3.9183583162785467E-2</v>
      </c>
      <c r="BE28" s="8">
        <f t="shared" si="115"/>
        <v>4.2287005163511145E-2</v>
      </c>
      <c r="BF28" s="8">
        <f t="shared" si="115"/>
        <v>4.3016723979580868E-2</v>
      </c>
      <c r="BG28" s="8">
        <f t="shared" si="115"/>
        <v>4.1032075186747036E-2</v>
      </c>
      <c r="BH28" s="8">
        <f t="shared" si="115"/>
        <v>3.7616807232834322E-3</v>
      </c>
      <c r="BI28" s="8">
        <f t="shared" si="115"/>
        <v>-0.1098833210942872</v>
      </c>
      <c r="BJ28" s="8">
        <f t="shared" si="115"/>
        <v>-7.2827095576863607E-2</v>
      </c>
      <c r="BK28" s="8">
        <f t="shared" si="115"/>
        <v>-4.2300286848206373E-2</v>
      </c>
      <c r="BL28" s="8">
        <f t="shared" si="115"/>
        <v>-6.1689986191291991E-2</v>
      </c>
      <c r="BM28" s="8">
        <f t="shared" si="115"/>
        <v>-5.2929067962475533E-2</v>
      </c>
      <c r="BN28" s="8">
        <f t="shared" si="115"/>
        <v>1.2327416173568634E-3</v>
      </c>
      <c r="BO28" s="8">
        <f t="shared" si="115"/>
        <v>3.4318597959717374E-2</v>
      </c>
      <c r="BP28" s="8">
        <f t="shared" si="115"/>
        <v>6.4303064249064748E-2</v>
      </c>
      <c r="BQ28" s="8">
        <f t="shared" si="115"/>
        <v>0.1031953774078667</v>
      </c>
      <c r="BR28" s="8">
        <f t="shared" si="115"/>
        <v>0.11177827350011316</v>
      </c>
      <c r="BS28" s="8">
        <f t="shared" si="115"/>
        <v>0.11230616362198263</v>
      </c>
      <c r="BT28" s="8">
        <f t="shared" si="115"/>
        <v>0.11296870411484503</v>
      </c>
      <c r="BU28" s="8">
        <f t="shared" si="115"/>
        <v>0.11363561405241862</v>
      </c>
      <c r="BV28" s="8">
        <f t="shared" ref="BV28:BZ28" si="116">BV15/BV6</f>
        <v>0.11458896965122391</v>
      </c>
      <c r="BW28" s="8">
        <f t="shared" si="116"/>
        <v>0.11555760846452721</v>
      </c>
      <c r="BX28" s="8">
        <f t="shared" si="116"/>
        <v>0.11654175062439745</v>
      </c>
      <c r="BY28" s="8">
        <f t="shared" si="116"/>
        <v>0.11754161890726028</v>
      </c>
      <c r="BZ28" s="8">
        <f t="shared" si="116"/>
        <v>0.11855743875582049</v>
      </c>
    </row>
    <row r="29" spans="1:81" x14ac:dyDescent="0.3"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CB29" t="s">
        <v>57</v>
      </c>
      <c r="CC29" s="8">
        <v>-0.01</v>
      </c>
    </row>
    <row r="30" spans="1:81" x14ac:dyDescent="0.3">
      <c r="A30" s="1"/>
      <c r="B30" s="1" t="s">
        <v>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0">
        <f>AO31+AO32-AO46-AO48</f>
        <v>1003.3999999999999</v>
      </c>
      <c r="AP30" s="10">
        <f>AP31+AP32-AP46-AP48</f>
        <v>1351.1</v>
      </c>
      <c r="AQ30" s="10">
        <f>AQ31+AQ32-AQ46-AQ48</f>
        <v>1272.8999999999999</v>
      </c>
      <c r="AR30" s="10"/>
      <c r="AS30" s="10">
        <f>AS31+AS32-AS46-AS48</f>
        <v>1179</v>
      </c>
      <c r="AT30" s="10">
        <f>AT31+AT32-AT46-AT48</f>
        <v>1170.8000000000002</v>
      </c>
      <c r="AU30" s="10">
        <f>AU31+AU32-AU46-AU48</f>
        <v>1057.2</v>
      </c>
      <c r="AV30" s="10">
        <f>AV31+AV32-AV46-AV48</f>
        <v>4180.8000000000011</v>
      </c>
      <c r="AW30" s="10">
        <f t="shared" ref="AW30:AX30" si="117">AW31+AW32-AW46-AW48</f>
        <v>4595.7</v>
      </c>
      <c r="AX30" s="10">
        <f t="shared" si="117"/>
        <v>4757.9999999999991</v>
      </c>
      <c r="AY30" s="10"/>
      <c r="AZ30" s="10"/>
      <c r="BA30" s="10"/>
      <c r="BB30" s="10"/>
      <c r="BC30" s="1"/>
      <c r="BD30" s="1"/>
      <c r="BE30" s="1"/>
      <c r="BF30" s="1"/>
      <c r="BG30" s="1"/>
      <c r="BH30" s="1"/>
      <c r="BI30" s="1"/>
      <c r="BJ30" s="1"/>
      <c r="BK30" s="1"/>
      <c r="BL30" s="10">
        <f>BL31+BL32-BL46-BL48</f>
        <v>1226.8000000000002</v>
      </c>
      <c r="BM30" s="10">
        <f>BM31+BM32-BM46-BM48</f>
        <v>1351.1</v>
      </c>
      <c r="BN30" s="10">
        <f>BN31+BN32-BN46-BN48</f>
        <v>1170.8000000000002</v>
      </c>
      <c r="BO30" s="10">
        <f>AX30</f>
        <v>4757.9999999999991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B30" t="s">
        <v>58</v>
      </c>
      <c r="CC30" s="8">
        <v>0.08</v>
      </c>
    </row>
    <row r="31" spans="1:81" x14ac:dyDescent="0.3">
      <c r="B31" t="s">
        <v>4</v>
      </c>
      <c r="AO31" s="5">
        <v>803.8</v>
      </c>
      <c r="AP31" s="5">
        <v>1139</v>
      </c>
      <c r="AQ31" s="5">
        <v>1057</v>
      </c>
      <c r="AR31" s="5"/>
      <c r="AS31" s="5">
        <v>909</v>
      </c>
      <c r="AT31" s="5">
        <v>921.7</v>
      </c>
      <c r="AU31" s="5">
        <v>999.9</v>
      </c>
      <c r="AV31" s="5">
        <v>4193.1000000000004</v>
      </c>
      <c r="AW31" s="5">
        <v>4583.3999999999996</v>
      </c>
      <c r="AX31" s="5">
        <v>4756.8999999999996</v>
      </c>
      <c r="AY31" s="5"/>
      <c r="AZ31" s="5"/>
      <c r="BA31" s="5"/>
      <c r="BB31" s="5"/>
      <c r="BL31" s="5">
        <v>1271.4000000000001</v>
      </c>
      <c r="BM31" s="5">
        <v>1139</v>
      </c>
      <c r="BN31" s="5">
        <v>921.7</v>
      </c>
      <c r="BO31" s="5">
        <f t="shared" ref="BO31:BO53" si="118">AX31</f>
        <v>4756.8999999999996</v>
      </c>
      <c r="CB31" t="s">
        <v>59</v>
      </c>
      <c r="CC31" s="5">
        <f>NPV(CC30,BP15:FZ15)</f>
        <v>5128.0299002913589</v>
      </c>
    </row>
    <row r="32" spans="1:81" x14ac:dyDescent="0.3">
      <c r="B32" t="s">
        <v>92</v>
      </c>
      <c r="AO32" s="5">
        <v>238.3</v>
      </c>
      <c r="AP32" s="5">
        <v>251.6</v>
      </c>
      <c r="AQ32" s="5">
        <v>253.1</v>
      </c>
      <c r="AR32" s="5"/>
      <c r="AS32" s="5">
        <v>300.5</v>
      </c>
      <c r="AT32" s="5">
        <v>277.60000000000002</v>
      </c>
      <c r="AU32" s="5">
        <v>83</v>
      </c>
      <c r="AV32" s="5">
        <v>11.1</v>
      </c>
      <c r="AW32" s="5">
        <v>32.799999999999997</v>
      </c>
      <c r="AX32" s="5">
        <v>18</v>
      </c>
      <c r="AY32" s="5"/>
      <c r="AZ32" s="5"/>
      <c r="BA32" s="5"/>
      <c r="BB32" s="5"/>
      <c r="BL32" s="5">
        <v>0</v>
      </c>
      <c r="BM32" s="5">
        <v>251.6</v>
      </c>
      <c r="BN32" s="5">
        <v>277.60000000000002</v>
      </c>
      <c r="BO32" s="5">
        <f t="shared" si="118"/>
        <v>18</v>
      </c>
      <c r="CB32" t="s">
        <v>60</v>
      </c>
      <c r="CC32" s="5">
        <f>Main!D8</f>
        <v>4758</v>
      </c>
    </row>
    <row r="33" spans="2:81" x14ac:dyDescent="0.3">
      <c r="B33" t="s">
        <v>93</v>
      </c>
      <c r="AO33" s="5">
        <v>125.3</v>
      </c>
      <c r="AP33" s="5">
        <v>153.9</v>
      </c>
      <c r="AQ33" s="5">
        <v>119.2</v>
      </c>
      <c r="AR33" s="5"/>
      <c r="AS33" s="5">
        <v>88.3</v>
      </c>
      <c r="AT33" s="5">
        <v>91</v>
      </c>
      <c r="AU33" s="5">
        <v>58.9</v>
      </c>
      <c r="AV33" s="5">
        <v>59.7</v>
      </c>
      <c r="AW33" s="5">
        <v>57.5</v>
      </c>
      <c r="AX33" s="5">
        <v>60.9</v>
      </c>
      <c r="AY33" s="5"/>
      <c r="AZ33" s="5"/>
      <c r="BA33" s="5"/>
      <c r="BB33" s="5"/>
      <c r="BL33" s="5">
        <v>141.1</v>
      </c>
      <c r="BM33" s="5">
        <v>153.9</v>
      </c>
      <c r="BN33" s="5">
        <v>91</v>
      </c>
      <c r="BO33" s="5">
        <f t="shared" si="118"/>
        <v>60.9</v>
      </c>
      <c r="CB33" t="s">
        <v>61</v>
      </c>
      <c r="CC33" s="5">
        <f>CC31+CC32</f>
        <v>9886.0299002913598</v>
      </c>
    </row>
    <row r="34" spans="2:81" x14ac:dyDescent="0.3">
      <c r="B34" t="s">
        <v>94</v>
      </c>
      <c r="AO34" s="5">
        <v>1131.3</v>
      </c>
      <c r="AP34" s="5">
        <v>682.9</v>
      </c>
      <c r="AQ34" s="5">
        <v>759.2</v>
      </c>
      <c r="AR34" s="5"/>
      <c r="AS34" s="5">
        <v>1021.3</v>
      </c>
      <c r="AT34" s="5">
        <v>632.5</v>
      </c>
      <c r="AU34" s="5">
        <v>675.8</v>
      </c>
      <c r="AV34" s="5">
        <v>560</v>
      </c>
      <c r="AW34" s="5">
        <v>830.2</v>
      </c>
      <c r="AX34" s="5">
        <v>480.2</v>
      </c>
      <c r="AY34" s="5"/>
      <c r="AZ34" s="5"/>
      <c r="BA34" s="5"/>
      <c r="BB34" s="5"/>
      <c r="BL34" s="5">
        <v>915</v>
      </c>
      <c r="BM34" s="5">
        <v>682.9</v>
      </c>
      <c r="BN34" s="5">
        <v>632.5</v>
      </c>
      <c r="BO34" s="5">
        <f t="shared" si="118"/>
        <v>480.2</v>
      </c>
      <c r="CB34" t="s">
        <v>62</v>
      </c>
      <c r="CC34" s="6">
        <f>CC33/BO16</f>
        <v>22.141164390350191</v>
      </c>
    </row>
    <row r="35" spans="2:81" x14ac:dyDescent="0.3">
      <c r="B35" t="s">
        <v>95</v>
      </c>
      <c r="AO35" s="5">
        <v>283.10000000000002</v>
      </c>
      <c r="AP35" s="5">
        <v>96.3</v>
      </c>
      <c r="AQ35" s="5">
        <v>65.8</v>
      </c>
      <c r="AR35" s="5"/>
      <c r="AS35" s="5">
        <v>57.7</v>
      </c>
      <c r="AT35" s="5">
        <v>51.4</v>
      </c>
      <c r="AU35" s="5">
        <v>62.1</v>
      </c>
      <c r="AV35" s="5">
        <v>60</v>
      </c>
      <c r="AW35" s="5">
        <v>119.4</v>
      </c>
      <c r="AX35" s="5">
        <v>39</v>
      </c>
      <c r="AY35" s="5"/>
      <c r="AZ35" s="5"/>
      <c r="BA35" s="5"/>
      <c r="BB35" s="5"/>
      <c r="BL35" s="5">
        <v>271.3</v>
      </c>
      <c r="BM35" s="5">
        <v>96.3</v>
      </c>
      <c r="BN35" s="5">
        <v>51.4</v>
      </c>
      <c r="BO35" s="5">
        <f t="shared" si="118"/>
        <v>39</v>
      </c>
      <c r="CB35" t="s">
        <v>63</v>
      </c>
      <c r="CC35" s="6">
        <f>Main!D3</f>
        <v>21.94</v>
      </c>
    </row>
    <row r="36" spans="2:81" s="1" customFormat="1" x14ac:dyDescent="0.3">
      <c r="B36" s="1" t="s">
        <v>91</v>
      </c>
      <c r="AO36" s="10">
        <f>SUM(AO31:AO35)</f>
        <v>2581.7999999999997</v>
      </c>
      <c r="AP36" s="10">
        <f>SUM(AP31:AP35)</f>
        <v>2323.7000000000003</v>
      </c>
      <c r="AQ36" s="10">
        <f>SUM(AQ31:AQ35)</f>
        <v>2254.3000000000002</v>
      </c>
      <c r="AR36" s="10"/>
      <c r="AS36" s="10">
        <f t="shared" ref="AS36:AX36" si="119">SUM(AS31:AS35)</f>
        <v>2376.7999999999997</v>
      </c>
      <c r="AT36" s="10">
        <f t="shared" si="119"/>
        <v>1974.2000000000003</v>
      </c>
      <c r="AU36" s="10">
        <f t="shared" si="119"/>
        <v>1879.7</v>
      </c>
      <c r="AV36" s="10">
        <f t="shared" si="119"/>
        <v>4883.9000000000005</v>
      </c>
      <c r="AW36" s="10">
        <f t="shared" si="119"/>
        <v>5623.2999999999993</v>
      </c>
      <c r="AX36" s="10">
        <f t="shared" si="119"/>
        <v>5354.9999999999991</v>
      </c>
      <c r="AY36" s="10"/>
      <c r="AZ36" s="10"/>
      <c r="BA36" s="10"/>
      <c r="BB36" s="10"/>
      <c r="BL36" s="10">
        <f>SUM(BL31:BL35)</f>
        <v>2598.8000000000002</v>
      </c>
      <c r="BM36" s="10">
        <f>SUM(BM31:BM35)</f>
        <v>2323.7000000000003</v>
      </c>
      <c r="BN36" s="10">
        <f>SUM(BN31:BN35)</f>
        <v>1974.2000000000003</v>
      </c>
      <c r="BO36" s="10">
        <f t="shared" si="118"/>
        <v>5354.9999999999991</v>
      </c>
      <c r="CB36" s="1" t="s">
        <v>64</v>
      </c>
      <c r="CC36" s="12">
        <f>CC34/CC35-1</f>
        <v>9.1688418573467878E-3</v>
      </c>
    </row>
    <row r="37" spans="2:81" x14ac:dyDescent="0.3">
      <c r="B37" t="s">
        <v>96</v>
      </c>
      <c r="AO37" s="5">
        <v>138.5</v>
      </c>
      <c r="AP37" s="5">
        <v>136.5</v>
      </c>
      <c r="AQ37" s="5">
        <v>123.6</v>
      </c>
      <c r="AR37" s="5"/>
      <c r="AS37" s="5">
        <v>114.5</v>
      </c>
      <c r="AT37" s="5">
        <v>94.9</v>
      </c>
      <c r="AU37" s="5">
        <v>82.4</v>
      </c>
      <c r="AV37" s="5">
        <v>78.900000000000006</v>
      </c>
      <c r="AW37" s="5">
        <v>70.5</v>
      </c>
      <c r="AX37" s="5">
        <v>68.2</v>
      </c>
      <c r="AY37" s="5"/>
      <c r="AZ37" s="5"/>
      <c r="BA37" s="5"/>
      <c r="BB37" s="5"/>
      <c r="BL37" s="5">
        <v>163.6</v>
      </c>
      <c r="BM37" s="5">
        <v>136.5</v>
      </c>
      <c r="BN37" s="5">
        <v>94.9</v>
      </c>
      <c r="BO37" s="5">
        <f t="shared" si="118"/>
        <v>68.2</v>
      </c>
      <c r="CB37" t="s">
        <v>65</v>
      </c>
      <c r="CC37" s="7" t="s">
        <v>123</v>
      </c>
    </row>
    <row r="38" spans="2:81" x14ac:dyDescent="0.3">
      <c r="B38" t="s">
        <v>97</v>
      </c>
      <c r="AO38" s="5">
        <v>523.20000000000005</v>
      </c>
      <c r="AP38" s="5">
        <v>560.79999999999995</v>
      </c>
      <c r="AQ38" s="5">
        <v>595.79999999999995</v>
      </c>
      <c r="AR38" s="5"/>
      <c r="AS38" s="5">
        <v>570.4</v>
      </c>
      <c r="AT38" s="5">
        <v>555.79999999999995</v>
      </c>
      <c r="AU38" s="5">
        <v>542</v>
      </c>
      <c r="AV38" s="5">
        <v>490.9</v>
      </c>
      <c r="AW38" s="5">
        <v>425.3</v>
      </c>
      <c r="AX38" s="5">
        <v>374.1</v>
      </c>
      <c r="AY38" s="5"/>
      <c r="AZ38" s="5"/>
      <c r="BA38" s="5"/>
      <c r="BB38" s="5"/>
      <c r="BL38" s="5">
        <v>586.6</v>
      </c>
      <c r="BM38" s="5">
        <v>560.79999999999995</v>
      </c>
      <c r="BN38" s="5">
        <v>555.79999999999995</v>
      </c>
      <c r="BO38" s="5">
        <f t="shared" si="118"/>
        <v>374.1</v>
      </c>
    </row>
    <row r="39" spans="2:81" x14ac:dyDescent="0.3">
      <c r="B39" t="s">
        <v>98</v>
      </c>
      <c r="AO39" s="5">
        <v>14.3</v>
      </c>
      <c r="AP39" s="5">
        <v>18.3</v>
      </c>
      <c r="AQ39" s="5">
        <v>17.5</v>
      </c>
      <c r="AR39" s="5"/>
      <c r="AS39" s="5">
        <v>16.600000000000001</v>
      </c>
      <c r="AT39" s="5">
        <v>17.3</v>
      </c>
      <c r="AU39" s="5">
        <v>17.5</v>
      </c>
      <c r="AV39" s="5">
        <v>17.5</v>
      </c>
      <c r="AW39" s="5">
        <v>17.7</v>
      </c>
      <c r="AX39" s="5">
        <v>18.100000000000001</v>
      </c>
      <c r="AY39" s="5"/>
      <c r="AZ39" s="5"/>
      <c r="BA39" s="5"/>
      <c r="BB39" s="5"/>
      <c r="BL39" s="5">
        <v>16.3</v>
      </c>
      <c r="BM39" s="5">
        <v>18.3</v>
      </c>
      <c r="BN39" s="5">
        <v>17.3</v>
      </c>
      <c r="BO39" s="5">
        <f t="shared" si="118"/>
        <v>18.100000000000001</v>
      </c>
    </row>
    <row r="40" spans="2:81" x14ac:dyDescent="0.3">
      <c r="B40" t="s">
        <v>99</v>
      </c>
      <c r="AO40" s="5">
        <v>64.7</v>
      </c>
      <c r="AP40" s="5">
        <v>74.099999999999994</v>
      </c>
      <c r="AQ40" s="5">
        <v>78.7</v>
      </c>
      <c r="AR40" s="5"/>
      <c r="AS40" s="5">
        <v>68.599999999999994</v>
      </c>
      <c r="AT40" s="5">
        <v>66.8</v>
      </c>
      <c r="AU40" s="5">
        <v>65.599999999999994</v>
      </c>
      <c r="AV40" s="5">
        <v>65.099999999999994</v>
      </c>
      <c r="AW40" s="5">
        <v>103.4</v>
      </c>
      <c r="AX40" s="5">
        <v>60</v>
      </c>
      <c r="AY40" s="5"/>
      <c r="AZ40" s="5"/>
      <c r="BA40" s="5"/>
      <c r="BB40" s="5"/>
      <c r="BL40" s="5">
        <v>134</v>
      </c>
      <c r="BM40" s="5">
        <v>74.099999999999994</v>
      </c>
      <c r="BN40" s="5">
        <v>66.8</v>
      </c>
      <c r="BO40" s="5">
        <f t="shared" si="118"/>
        <v>60</v>
      </c>
    </row>
    <row r="41" spans="2:81" s="1" customFormat="1" x14ac:dyDescent="0.3">
      <c r="B41" s="1" t="s">
        <v>100</v>
      </c>
      <c r="AO41" s="10">
        <f>SUM(AO37:AO40)</f>
        <v>740.7</v>
      </c>
      <c r="AP41" s="10">
        <f>SUM(AP37:AP40)</f>
        <v>789.69999999999993</v>
      </c>
      <c r="AQ41" s="10">
        <f>SUM(AQ37:AQ40)</f>
        <v>815.6</v>
      </c>
      <c r="AR41" s="10"/>
      <c r="AS41" s="10">
        <f t="shared" ref="AS41:AX41" si="120">SUM(AS37:AS40)</f>
        <v>770.1</v>
      </c>
      <c r="AT41" s="10">
        <f t="shared" si="120"/>
        <v>734.79999999999984</v>
      </c>
      <c r="AU41" s="10">
        <f t="shared" si="120"/>
        <v>707.5</v>
      </c>
      <c r="AV41" s="10">
        <f t="shared" si="120"/>
        <v>652.4</v>
      </c>
      <c r="AW41" s="10">
        <f t="shared" si="120"/>
        <v>616.9</v>
      </c>
      <c r="AX41" s="10">
        <f t="shared" si="120"/>
        <v>520.40000000000009</v>
      </c>
      <c r="AY41" s="10"/>
      <c r="AZ41" s="10"/>
      <c r="BA41" s="10"/>
      <c r="BB41" s="10"/>
      <c r="BL41" s="10">
        <f>SUM(BL37:BL40)</f>
        <v>900.5</v>
      </c>
      <c r="BM41" s="10">
        <f>SUM(BM37:BM40)</f>
        <v>789.69999999999993</v>
      </c>
      <c r="BN41" s="10">
        <f>SUM(BN37:BN40)</f>
        <v>734.79999999999984</v>
      </c>
      <c r="BO41" s="5">
        <f t="shared" si="118"/>
        <v>520.40000000000009</v>
      </c>
    </row>
    <row r="42" spans="2:81" s="1" customFormat="1" x14ac:dyDescent="0.3">
      <c r="B42" s="1" t="s">
        <v>101</v>
      </c>
      <c r="AO42" s="18">
        <f>AO36+AO41</f>
        <v>3322.5</v>
      </c>
      <c r="AP42" s="18">
        <f>AP36+AP41</f>
        <v>3113.4</v>
      </c>
      <c r="AQ42" s="18">
        <f>AQ36+AQ41</f>
        <v>3069.9</v>
      </c>
      <c r="AR42" s="18"/>
      <c r="AS42" s="18">
        <f t="shared" ref="AS42:AX42" si="121">AS36+AS41</f>
        <v>3146.8999999999996</v>
      </c>
      <c r="AT42" s="18">
        <f t="shared" si="121"/>
        <v>2709</v>
      </c>
      <c r="AU42" s="18">
        <f t="shared" si="121"/>
        <v>2587.1999999999998</v>
      </c>
      <c r="AV42" s="18">
        <f t="shared" si="121"/>
        <v>5536.3</v>
      </c>
      <c r="AW42" s="18">
        <f t="shared" si="121"/>
        <v>6240.1999999999989</v>
      </c>
      <c r="AX42" s="18">
        <f t="shared" si="121"/>
        <v>5875.4</v>
      </c>
      <c r="AY42" s="18"/>
      <c r="AZ42" s="18"/>
      <c r="BA42" s="18"/>
      <c r="BB42" s="18"/>
      <c r="BL42" s="18">
        <f>BL36+BL41</f>
        <v>3499.3</v>
      </c>
      <c r="BM42" s="18">
        <f>BM36+BM41</f>
        <v>3113.4</v>
      </c>
      <c r="BN42" s="18">
        <f>BN36+BN41</f>
        <v>2709</v>
      </c>
      <c r="BO42" s="18">
        <f t="shared" si="118"/>
        <v>5875.4</v>
      </c>
    </row>
    <row r="43" spans="2:81" x14ac:dyDescent="0.3">
      <c r="B43" t="s">
        <v>102</v>
      </c>
      <c r="AO43" s="5">
        <v>888.4</v>
      </c>
      <c r="AP43" s="5">
        <v>531.29999999999995</v>
      </c>
      <c r="AQ43" s="5">
        <v>561.4</v>
      </c>
      <c r="AR43" s="5"/>
      <c r="AS43" s="5">
        <v>812.7</v>
      </c>
      <c r="AT43" s="5">
        <v>324</v>
      </c>
      <c r="AU43" s="5">
        <v>282.7</v>
      </c>
      <c r="AV43" s="5">
        <v>220.5</v>
      </c>
      <c r="AW43" s="5">
        <v>494.1</v>
      </c>
      <c r="AX43" s="5">
        <v>148.6</v>
      </c>
      <c r="AY43" s="5"/>
      <c r="AZ43" s="5"/>
      <c r="BA43" s="5"/>
      <c r="BB43" s="5"/>
      <c r="BL43" s="5">
        <v>471</v>
      </c>
      <c r="BM43" s="5">
        <v>531.29999999999995</v>
      </c>
      <c r="BN43" s="5">
        <v>324</v>
      </c>
      <c r="BO43" s="5">
        <f t="shared" si="118"/>
        <v>148.6</v>
      </c>
    </row>
    <row r="44" spans="2:81" x14ac:dyDescent="0.3">
      <c r="B44" t="s">
        <v>103</v>
      </c>
      <c r="AO44" s="5">
        <v>504.2</v>
      </c>
      <c r="AP44" s="5">
        <v>602.29999999999995</v>
      </c>
      <c r="AQ44" s="5">
        <v>546.4</v>
      </c>
      <c r="AR44" s="5"/>
      <c r="AS44" s="5">
        <v>425.7</v>
      </c>
      <c r="AT44" s="5">
        <v>412</v>
      </c>
      <c r="AU44" s="5">
        <v>377.1</v>
      </c>
      <c r="AV44" s="5">
        <v>377.8</v>
      </c>
      <c r="AW44" s="5">
        <v>437</v>
      </c>
      <c r="AX44" s="5">
        <v>362.2</v>
      </c>
      <c r="AY44" s="5"/>
      <c r="AZ44" s="5"/>
      <c r="BA44" s="5"/>
      <c r="BB44" s="5"/>
      <c r="BL44" s="5">
        <v>668.9</v>
      </c>
      <c r="BM44" s="5">
        <v>602.29999999999995</v>
      </c>
      <c r="BN44" s="5">
        <v>412</v>
      </c>
      <c r="BO44" s="5">
        <f t="shared" si="118"/>
        <v>362.2</v>
      </c>
      <c r="BP44" s="5"/>
    </row>
    <row r="45" spans="2:81" x14ac:dyDescent="0.3">
      <c r="B45" t="s">
        <v>97</v>
      </c>
      <c r="AO45" s="5">
        <v>186.2</v>
      </c>
      <c r="AP45" s="5">
        <v>194.7</v>
      </c>
      <c r="AQ45" s="5">
        <v>200.8</v>
      </c>
      <c r="AR45" s="5"/>
      <c r="AS45" s="5">
        <v>188.9</v>
      </c>
      <c r="AT45" s="5">
        <v>187.7</v>
      </c>
      <c r="AU45" s="5">
        <v>177.7</v>
      </c>
      <c r="AV45" s="5">
        <v>174.2</v>
      </c>
      <c r="AW45" s="5">
        <v>157.6</v>
      </c>
      <c r="AX45" s="5">
        <v>144.30000000000001</v>
      </c>
      <c r="AY45" s="5"/>
      <c r="AZ45" s="5"/>
      <c r="BA45" s="5"/>
      <c r="BB45" s="5"/>
      <c r="BL45" s="5">
        <v>210.7</v>
      </c>
      <c r="BM45" s="5">
        <v>194.7</v>
      </c>
      <c r="BN45" s="5">
        <v>187.7</v>
      </c>
      <c r="BO45" s="5">
        <f t="shared" si="118"/>
        <v>144.30000000000001</v>
      </c>
    </row>
    <row r="46" spans="2:81" x14ac:dyDescent="0.3">
      <c r="B46" t="s">
        <v>5</v>
      </c>
      <c r="AO46" s="5">
        <v>9.9</v>
      </c>
      <c r="AP46" s="5">
        <v>10.8</v>
      </c>
      <c r="AQ46" s="5">
        <v>10.9</v>
      </c>
      <c r="AR46" s="5"/>
      <c r="AS46" s="5">
        <v>10.5</v>
      </c>
      <c r="AT46" s="5">
        <v>10.8</v>
      </c>
      <c r="AU46" s="5">
        <v>10.8</v>
      </c>
      <c r="AV46" s="5">
        <v>11</v>
      </c>
      <c r="AW46" s="5">
        <v>10.9</v>
      </c>
      <c r="AX46" s="5">
        <v>10.3</v>
      </c>
      <c r="AY46" s="5"/>
      <c r="AZ46" s="5"/>
      <c r="BA46" s="5"/>
      <c r="BB46" s="5"/>
      <c r="BL46" s="5">
        <v>4.0999999999999996</v>
      </c>
      <c r="BM46" s="5">
        <v>10.8</v>
      </c>
      <c r="BN46" s="5">
        <v>10.8</v>
      </c>
      <c r="BO46" s="5">
        <f t="shared" si="118"/>
        <v>10.3</v>
      </c>
    </row>
    <row r="47" spans="2:81" s="1" customFormat="1" x14ac:dyDescent="0.3">
      <c r="B47" s="1" t="s">
        <v>104</v>
      </c>
      <c r="AO47" s="10">
        <f>SUM(AO43:AO46)</f>
        <v>1588.7</v>
      </c>
      <c r="AP47" s="10">
        <f>SUM(AP43:AP46)</f>
        <v>1339.1</v>
      </c>
      <c r="AQ47" s="10">
        <f>SUM(AQ43:AQ46)</f>
        <v>1319.5</v>
      </c>
      <c r="AR47" s="10"/>
      <c r="AS47" s="10">
        <f t="shared" ref="AS47:AX47" si="122">SUM(AS43:AS46)</f>
        <v>1437.8000000000002</v>
      </c>
      <c r="AT47" s="10">
        <f t="shared" si="122"/>
        <v>934.5</v>
      </c>
      <c r="AU47" s="10">
        <f t="shared" si="122"/>
        <v>848.3</v>
      </c>
      <c r="AV47" s="10">
        <f t="shared" si="122"/>
        <v>783.5</v>
      </c>
      <c r="AW47" s="10">
        <f t="shared" si="122"/>
        <v>1099.6000000000001</v>
      </c>
      <c r="AX47" s="10">
        <f t="shared" si="122"/>
        <v>665.39999999999986</v>
      </c>
      <c r="AY47" s="10"/>
      <c r="AZ47" s="10"/>
      <c r="BA47" s="10"/>
      <c r="BB47" s="10"/>
      <c r="BL47" s="10">
        <f>SUM(BL43:BL46)</f>
        <v>1354.7</v>
      </c>
      <c r="BM47" s="10">
        <f>SUM(BM43:BM46)</f>
        <v>1339.1</v>
      </c>
      <c r="BN47" s="10">
        <f>SUM(BN43:BN46)</f>
        <v>934.5</v>
      </c>
      <c r="BO47" s="10">
        <f t="shared" si="118"/>
        <v>665.39999999999986</v>
      </c>
    </row>
    <row r="48" spans="2:81" x14ac:dyDescent="0.3">
      <c r="B48" t="s">
        <v>5</v>
      </c>
      <c r="AO48" s="5">
        <v>28.8</v>
      </c>
      <c r="AP48" s="5">
        <v>28.7</v>
      </c>
      <c r="AQ48" s="5">
        <v>26.3</v>
      </c>
      <c r="AR48" s="5"/>
      <c r="AS48" s="5">
        <v>20</v>
      </c>
      <c r="AT48" s="5">
        <v>17.7</v>
      </c>
      <c r="AU48" s="5">
        <v>14.9</v>
      </c>
      <c r="AV48" s="5">
        <v>12.4</v>
      </c>
      <c r="AW48" s="5">
        <v>9.6</v>
      </c>
      <c r="AX48" s="5">
        <v>6.6</v>
      </c>
      <c r="AY48" s="5"/>
      <c r="AZ48" s="5"/>
      <c r="BA48" s="5"/>
      <c r="BB48" s="5"/>
      <c r="BL48" s="5">
        <v>40.5</v>
      </c>
      <c r="BM48" s="5">
        <v>28.7</v>
      </c>
      <c r="BN48" s="5">
        <v>17.7</v>
      </c>
      <c r="BO48" s="5">
        <f t="shared" si="118"/>
        <v>6.6</v>
      </c>
    </row>
    <row r="49" spans="2:67" x14ac:dyDescent="0.3">
      <c r="B49" t="s">
        <v>97</v>
      </c>
      <c r="AO49" s="5">
        <v>349.6</v>
      </c>
      <c r="AP49" s="5">
        <v>382.4</v>
      </c>
      <c r="AQ49" s="5">
        <v>412.5</v>
      </c>
      <c r="AR49" s="5"/>
      <c r="AS49" s="5">
        <v>394.8</v>
      </c>
      <c r="AT49" s="5">
        <v>386.6</v>
      </c>
      <c r="AU49" s="5">
        <v>385.3</v>
      </c>
      <c r="AV49" s="5">
        <v>335.9</v>
      </c>
      <c r="AW49" s="5">
        <v>285.39999999999998</v>
      </c>
      <c r="AX49" s="5">
        <v>249.5</v>
      </c>
      <c r="AY49" s="5"/>
      <c r="AZ49" s="5"/>
      <c r="BA49" s="5"/>
      <c r="BB49" s="5"/>
      <c r="BL49" s="5">
        <v>393.7</v>
      </c>
      <c r="BM49" s="5">
        <v>382.4</v>
      </c>
      <c r="BN49" s="5">
        <v>386.6</v>
      </c>
      <c r="BO49" s="5">
        <f t="shared" si="118"/>
        <v>249.5</v>
      </c>
    </row>
    <row r="50" spans="2:67" x14ac:dyDescent="0.3">
      <c r="B50" t="s">
        <v>105</v>
      </c>
      <c r="AO50" s="5">
        <v>110.4</v>
      </c>
      <c r="AP50" s="5">
        <v>40.9</v>
      </c>
      <c r="AQ50" s="5">
        <v>40.299999999999997</v>
      </c>
      <c r="AR50" s="5"/>
      <c r="AS50" s="5">
        <v>31.5</v>
      </c>
      <c r="AT50" s="5">
        <v>31.6</v>
      </c>
      <c r="AU50" s="5">
        <v>31.3</v>
      </c>
      <c r="AV50" s="5">
        <v>21.1</v>
      </c>
      <c r="AW50" s="5">
        <v>41.1</v>
      </c>
      <c r="AX50" s="5">
        <v>24.1</v>
      </c>
      <c r="AY50" s="5"/>
      <c r="AZ50" s="5"/>
      <c r="BA50" s="5"/>
      <c r="BB50" s="5"/>
      <c r="BL50" s="5">
        <v>107.9</v>
      </c>
      <c r="BM50" s="5">
        <v>40.9</v>
      </c>
      <c r="BN50" s="5">
        <v>31.6</v>
      </c>
      <c r="BO50" s="5">
        <f t="shared" si="118"/>
        <v>24.1</v>
      </c>
    </row>
    <row r="51" spans="2:67" s="1" customFormat="1" x14ac:dyDescent="0.3">
      <c r="B51" s="1" t="s">
        <v>106</v>
      </c>
      <c r="AO51" s="10">
        <f>SUM(AO48:AO50)</f>
        <v>488.80000000000007</v>
      </c>
      <c r="AP51" s="10">
        <f>SUM(AP48:AP50)</f>
        <v>451.99999999999994</v>
      </c>
      <c r="AQ51" s="10">
        <f>SUM(AQ48:AQ50)</f>
        <v>479.1</v>
      </c>
      <c r="AR51" s="10"/>
      <c r="AS51" s="10">
        <f t="shared" ref="AS51:AX51" si="123">SUM(AS48:AS50)</f>
        <v>446.3</v>
      </c>
      <c r="AT51" s="10">
        <f t="shared" si="123"/>
        <v>435.90000000000003</v>
      </c>
      <c r="AU51" s="10">
        <f t="shared" si="123"/>
        <v>431.5</v>
      </c>
      <c r="AV51" s="10">
        <f t="shared" si="123"/>
        <v>369.4</v>
      </c>
      <c r="AW51" s="10">
        <f t="shared" si="123"/>
        <v>336.1</v>
      </c>
      <c r="AX51" s="10">
        <f t="shared" si="123"/>
        <v>280.20000000000005</v>
      </c>
      <c r="AY51" s="10"/>
      <c r="AZ51" s="10"/>
      <c r="BA51" s="10"/>
      <c r="BB51" s="10"/>
      <c r="BL51" s="10">
        <f>SUM(BL48:BL50)</f>
        <v>542.1</v>
      </c>
      <c r="BM51" s="10">
        <f>SUM(BM48:BM50)</f>
        <v>451.99999999999994</v>
      </c>
      <c r="BN51" s="10">
        <f>SUM(BN48:BN50)</f>
        <v>435.90000000000003</v>
      </c>
      <c r="BO51" s="10">
        <f t="shared" si="118"/>
        <v>280.20000000000005</v>
      </c>
    </row>
    <row r="52" spans="2:67" s="1" customFormat="1" x14ac:dyDescent="0.3">
      <c r="B52" s="1" t="s">
        <v>107</v>
      </c>
      <c r="AO52" s="10">
        <v>1245</v>
      </c>
      <c r="AP52" s="10">
        <v>1322.3</v>
      </c>
      <c r="AQ52" s="10">
        <v>1271.5999999999999</v>
      </c>
      <c r="AR52" s="10"/>
      <c r="AS52" s="10">
        <v>1262.8</v>
      </c>
      <c r="AT52" s="10">
        <v>1338.6</v>
      </c>
      <c r="AU52" s="10">
        <f>1307.3</f>
        <v>1307.3</v>
      </c>
      <c r="AV52" s="10">
        <v>4383.3999999999996</v>
      </c>
      <c r="AW52" s="10">
        <v>4804.5</v>
      </c>
      <c r="AX52" s="10">
        <v>4929.8</v>
      </c>
      <c r="AY52" s="10"/>
      <c r="AZ52" s="10"/>
      <c r="BA52" s="10"/>
      <c r="BB52" s="10"/>
      <c r="BL52" s="10">
        <v>1602.5</v>
      </c>
      <c r="BM52" s="10">
        <v>1322.3</v>
      </c>
      <c r="BN52" s="10">
        <v>1338.6</v>
      </c>
      <c r="BO52" s="10">
        <f t="shared" si="118"/>
        <v>4929.8</v>
      </c>
    </row>
    <row r="53" spans="2:67" s="1" customFormat="1" x14ac:dyDescent="0.3">
      <c r="B53" s="1" t="s">
        <v>108</v>
      </c>
      <c r="AO53" s="18">
        <f>AO47+AO51+AO52</f>
        <v>3322.5</v>
      </c>
      <c r="AP53" s="18">
        <f>AP47+AP51+AP52</f>
        <v>3113.3999999999996</v>
      </c>
      <c r="AQ53" s="18">
        <f>AQ47+AQ51+AQ52</f>
        <v>3070.2</v>
      </c>
      <c r="AR53" s="18"/>
      <c r="AS53" s="18">
        <f t="shared" ref="AS53:AX53" si="124">AS47+AS51+AS52</f>
        <v>3146.9</v>
      </c>
      <c r="AT53" s="18">
        <f t="shared" si="124"/>
        <v>2709</v>
      </c>
      <c r="AU53" s="18">
        <f t="shared" si="124"/>
        <v>2587.1</v>
      </c>
      <c r="AV53" s="18">
        <f t="shared" si="124"/>
        <v>5536.2999999999993</v>
      </c>
      <c r="AW53" s="18">
        <f t="shared" si="124"/>
        <v>6240.2000000000007</v>
      </c>
      <c r="AX53" s="18">
        <f t="shared" si="124"/>
        <v>5875.4</v>
      </c>
      <c r="AY53" s="18"/>
      <c r="AZ53" s="18"/>
      <c r="BA53" s="18"/>
      <c r="BB53" s="18"/>
      <c r="BL53" s="18">
        <f>BL47+BL51+BL52</f>
        <v>3499.3</v>
      </c>
      <c r="BM53" s="18">
        <f>BM47+BM51+BM52</f>
        <v>3113.3999999999996</v>
      </c>
      <c r="BN53" s="18">
        <f>BN47+BN51+BN52</f>
        <v>2709</v>
      </c>
      <c r="BO53" s="18">
        <f t="shared" si="118"/>
        <v>5875.4</v>
      </c>
    </row>
    <row r="54" spans="2:67" x14ac:dyDescent="0.3">
      <c r="BO54" s="20"/>
    </row>
    <row r="55" spans="2:67" s="1" customFormat="1" x14ac:dyDescent="0.3">
      <c r="B55" s="1" t="s">
        <v>50</v>
      </c>
      <c r="AI55" s="10">
        <f t="shared" ref="AI55:AR55" si="125">AI15</f>
        <v>-66.800000000000097</v>
      </c>
      <c r="AJ55" s="10">
        <f t="shared" si="125"/>
        <v>-61.599999999999888</v>
      </c>
      <c r="AK55" s="10">
        <f t="shared" si="125"/>
        <v>-105.39999999999986</v>
      </c>
      <c r="AL55" s="10">
        <f t="shared" si="125"/>
        <v>-141.39999999999995</v>
      </c>
      <c r="AM55" s="10">
        <f t="shared" si="125"/>
        <v>-157.89999999999998</v>
      </c>
      <c r="AN55" s="10">
        <f t="shared" si="125"/>
        <v>-106.19999999999996</v>
      </c>
      <c r="AO55" s="10">
        <f t="shared" si="125"/>
        <v>-95.099999999999923</v>
      </c>
      <c r="AP55" s="10">
        <f t="shared" si="125"/>
        <v>45.500000000000213</v>
      </c>
      <c r="AQ55" s="10">
        <f t="shared" si="125"/>
        <v>-50.700000000000038</v>
      </c>
      <c r="AR55" s="10">
        <f t="shared" si="125"/>
        <v>-2.8000000000000229</v>
      </c>
      <c r="AS55" s="10">
        <f>AS15</f>
        <v>-3.1000000000000449</v>
      </c>
      <c r="AT55" s="10">
        <f>AT15</f>
        <v>63.099999999999831</v>
      </c>
      <c r="AU55" s="10">
        <f>AU15</f>
        <v>-32.300000000000026</v>
      </c>
      <c r="AV55" s="10">
        <f>AV15</f>
        <v>14.799999999999944</v>
      </c>
      <c r="AW55" s="10">
        <f t="shared" ref="AW55:AX55" si="126">AW15</f>
        <v>17.400000000000048</v>
      </c>
      <c r="AX55" s="10">
        <f t="shared" si="126"/>
        <v>131.29999999999984</v>
      </c>
      <c r="AY55" s="10"/>
      <c r="AZ55" s="10"/>
      <c r="BA55" s="10"/>
      <c r="BB55" s="10"/>
      <c r="BD55" s="10">
        <f t="shared" ref="BD55:BK55" si="127">BD15</f>
        <v>354.19999999999925</v>
      </c>
      <c r="BE55" s="10">
        <f t="shared" si="127"/>
        <v>393.09999999999962</v>
      </c>
      <c r="BF55" s="10">
        <f t="shared" si="127"/>
        <v>402.79999999999927</v>
      </c>
      <c r="BG55" s="10">
        <f t="shared" si="127"/>
        <v>353.19999999999982</v>
      </c>
      <c r="BH55" s="10">
        <f t="shared" si="127"/>
        <v>34.700000000000351</v>
      </c>
      <c r="BI55" s="10">
        <f t="shared" si="127"/>
        <v>-942.69999999999936</v>
      </c>
      <c r="BJ55" s="10">
        <f t="shared" si="127"/>
        <v>-470.90000000000009</v>
      </c>
      <c r="BK55" s="10">
        <f t="shared" si="127"/>
        <v>-215.30000000000075</v>
      </c>
      <c r="BL55" s="10">
        <f>BL15</f>
        <v>-370.79999999999882</v>
      </c>
      <c r="BM55" s="10">
        <f>BM15</f>
        <v>-313.7</v>
      </c>
      <c r="BN55" s="10">
        <f>BN15</f>
        <v>6.499999999999269</v>
      </c>
      <c r="BO55" s="10">
        <f>BO15</f>
        <v>131.19999999999953</v>
      </c>
    </row>
    <row r="56" spans="2:67" x14ac:dyDescent="0.3">
      <c r="B56" t="s">
        <v>112</v>
      </c>
      <c r="AO56" s="5">
        <v>15.1</v>
      </c>
      <c r="AQ56" s="5">
        <v>13.7</v>
      </c>
      <c r="AS56" s="5">
        <v>11.3</v>
      </c>
      <c r="AT56" s="5">
        <v>18.600000000000001</v>
      </c>
      <c r="AU56" s="5">
        <v>16.8</v>
      </c>
      <c r="AV56" s="5">
        <f>24.4-AU56</f>
        <v>7.5999999999999979</v>
      </c>
      <c r="AW56" s="5">
        <v>8.5</v>
      </c>
      <c r="AX56" s="5">
        <v>6</v>
      </c>
      <c r="AY56" s="5"/>
      <c r="AZ56" s="5"/>
      <c r="BA56" s="5"/>
      <c r="BB56" s="5"/>
      <c r="BJ56" s="5">
        <v>96.2</v>
      </c>
      <c r="BK56" s="5">
        <v>80.7</v>
      </c>
      <c r="BL56" s="5">
        <v>77.2</v>
      </c>
      <c r="BM56" s="5">
        <v>61.7</v>
      </c>
      <c r="BN56" s="5">
        <v>56.2</v>
      </c>
      <c r="BO56" s="5">
        <f>SUM(AU56:AX56)</f>
        <v>38.9</v>
      </c>
    </row>
    <row r="57" spans="2:67" x14ac:dyDescent="0.3">
      <c r="B57" t="s">
        <v>113</v>
      </c>
      <c r="AO57" s="5">
        <v>13.3</v>
      </c>
      <c r="AQ57" s="5">
        <v>7.9</v>
      </c>
      <c r="AS57" s="5">
        <v>6.4</v>
      </c>
      <c r="AT57" s="5">
        <v>8.1999999999999993</v>
      </c>
      <c r="AU57" s="5">
        <v>0.6</v>
      </c>
      <c r="AV57" s="5">
        <f>6-AU57</f>
        <v>5.4</v>
      </c>
      <c r="AW57" s="5">
        <v>4.9000000000000004</v>
      </c>
      <c r="AX57" s="5">
        <v>5.5</v>
      </c>
      <c r="AY57" s="5"/>
      <c r="AZ57" s="5"/>
      <c r="BA57" s="5"/>
      <c r="BB57" s="5"/>
      <c r="BJ57" s="5">
        <v>8.9</v>
      </c>
      <c r="BK57" s="5">
        <v>7.9</v>
      </c>
      <c r="BL57" s="5">
        <v>30.5</v>
      </c>
      <c r="BM57" s="5">
        <v>40.1</v>
      </c>
      <c r="BN57" s="5">
        <v>22.2</v>
      </c>
      <c r="BO57" s="5">
        <f t="shared" ref="BO57:BO71" si="128">SUM(AU57:AX57)</f>
        <v>16.399999999999999</v>
      </c>
    </row>
    <row r="58" spans="2:67" x14ac:dyDescent="0.3">
      <c r="B58" t="s">
        <v>117</v>
      </c>
      <c r="AO58" s="5">
        <v>-0.2</v>
      </c>
      <c r="AQ58" s="5">
        <v>0</v>
      </c>
      <c r="AS58" s="5">
        <v>0</v>
      </c>
      <c r="AT58" s="5">
        <v>0</v>
      </c>
      <c r="AU58" s="5">
        <v>0</v>
      </c>
      <c r="AV58" s="5">
        <v>0</v>
      </c>
      <c r="AW58" s="5">
        <v>8.6</v>
      </c>
      <c r="AX58" s="5">
        <v>0</v>
      </c>
      <c r="AY58" s="5"/>
      <c r="AZ58" s="5"/>
      <c r="BA58" s="5"/>
      <c r="BB58" s="5"/>
      <c r="BJ58" s="5">
        <v>4.0999999999999996</v>
      </c>
      <c r="BK58" s="5">
        <v>0</v>
      </c>
      <c r="BL58" s="5">
        <v>0</v>
      </c>
      <c r="BM58" s="5">
        <v>-7.2</v>
      </c>
      <c r="BN58" s="5">
        <v>0</v>
      </c>
      <c r="BO58" s="5">
        <f t="shared" si="128"/>
        <v>8.6</v>
      </c>
    </row>
    <row r="59" spans="2:67" x14ac:dyDescent="0.3">
      <c r="B59" t="s">
        <v>116</v>
      </c>
      <c r="AO59" s="5">
        <v>0.2</v>
      </c>
      <c r="AQ59" s="5">
        <v>0</v>
      </c>
      <c r="AS59" s="5">
        <v>0</v>
      </c>
      <c r="AT59" s="5">
        <v>0</v>
      </c>
      <c r="AU59" s="5">
        <v>0</v>
      </c>
      <c r="AV59" s="5">
        <v>0</v>
      </c>
      <c r="AW59" s="5"/>
      <c r="AX59" s="5">
        <v>0</v>
      </c>
      <c r="AY59" s="5"/>
      <c r="AZ59" s="5"/>
      <c r="BA59" s="5"/>
      <c r="BB59" s="5"/>
      <c r="BJ59" s="5">
        <v>0</v>
      </c>
      <c r="BK59" s="5">
        <v>0</v>
      </c>
      <c r="BL59" s="5">
        <v>0</v>
      </c>
      <c r="BM59" s="5">
        <v>34</v>
      </c>
      <c r="BN59" s="5">
        <v>0</v>
      </c>
      <c r="BO59" s="5">
        <f t="shared" si="128"/>
        <v>0</v>
      </c>
    </row>
    <row r="60" spans="2:67" x14ac:dyDescent="0.3">
      <c r="B60" t="s">
        <v>46</v>
      </c>
      <c r="AO60" s="5">
        <v>3.5</v>
      </c>
      <c r="AQ60" s="5">
        <v>0</v>
      </c>
      <c r="AS60" s="5">
        <v>-5.6</v>
      </c>
      <c r="AT60" s="5">
        <v>4.8</v>
      </c>
      <c r="AU60" s="5">
        <v>0</v>
      </c>
      <c r="AV60" s="5">
        <v>0</v>
      </c>
      <c r="AW60" s="5"/>
      <c r="AX60" s="5">
        <v>1.1000000000000001</v>
      </c>
      <c r="AY60" s="5"/>
      <c r="AZ60" s="5"/>
      <c r="BA60" s="5"/>
      <c r="BB60" s="5"/>
      <c r="BJ60" s="5">
        <v>8.9</v>
      </c>
      <c r="BK60" s="5">
        <v>15.5</v>
      </c>
      <c r="BL60" s="5">
        <v>6.7</v>
      </c>
      <c r="BM60" s="5">
        <v>2.7</v>
      </c>
      <c r="BN60" s="5">
        <v>4.8</v>
      </c>
      <c r="BO60" s="5">
        <f t="shared" si="128"/>
        <v>1.1000000000000001</v>
      </c>
    </row>
    <row r="61" spans="2:67" x14ac:dyDescent="0.3">
      <c r="B61" t="s">
        <v>5</v>
      </c>
      <c r="AO61" s="5">
        <v>0</v>
      </c>
      <c r="AQ61" s="5">
        <v>0</v>
      </c>
      <c r="AS61" s="5">
        <v>0</v>
      </c>
      <c r="AT61" s="5">
        <v>0</v>
      </c>
      <c r="AU61" s="5">
        <v>0</v>
      </c>
      <c r="AV61" s="5">
        <v>0</v>
      </c>
      <c r="AW61" s="5"/>
      <c r="AX61" s="5">
        <v>0</v>
      </c>
      <c r="AY61" s="5"/>
      <c r="AZ61" s="5"/>
      <c r="BA61" s="5"/>
      <c r="BB61" s="5"/>
      <c r="BJ61" s="5">
        <v>-1.5</v>
      </c>
      <c r="BK61" s="5">
        <v>-1.5</v>
      </c>
      <c r="BL61" s="5">
        <v>18.2</v>
      </c>
      <c r="BM61" s="5">
        <v>0</v>
      </c>
      <c r="BN61" s="5">
        <v>0</v>
      </c>
      <c r="BO61" s="5">
        <f t="shared" si="128"/>
        <v>0</v>
      </c>
    </row>
    <row r="62" spans="2:67" x14ac:dyDescent="0.3">
      <c r="B62" t="s">
        <v>98</v>
      </c>
      <c r="AO62" s="5">
        <v>0</v>
      </c>
      <c r="AQ62" s="5">
        <v>0</v>
      </c>
      <c r="AS62" s="5">
        <v>0</v>
      </c>
      <c r="AT62" s="5">
        <v>-0.1</v>
      </c>
      <c r="AU62" s="5">
        <v>0</v>
      </c>
      <c r="AV62" s="5">
        <v>0</v>
      </c>
      <c r="AW62" s="5"/>
      <c r="AX62" s="5">
        <v>-1.8</v>
      </c>
      <c r="AY62" s="5"/>
      <c r="AZ62" s="5"/>
      <c r="BA62" s="5"/>
      <c r="BB62" s="5"/>
      <c r="BJ62" s="5">
        <v>61.4</v>
      </c>
      <c r="BK62" s="5">
        <v>80.3</v>
      </c>
      <c r="BL62" s="5">
        <v>-16.3</v>
      </c>
      <c r="BM62" s="5">
        <v>-2.6</v>
      </c>
      <c r="BN62" s="5">
        <v>-0.1</v>
      </c>
      <c r="BO62" s="5">
        <f t="shared" si="128"/>
        <v>-1.8</v>
      </c>
    </row>
    <row r="63" spans="2:67" x14ac:dyDescent="0.3">
      <c r="B63" t="s">
        <v>96</v>
      </c>
      <c r="AO63" s="5">
        <v>0</v>
      </c>
      <c r="AQ63" s="5">
        <v>0.6</v>
      </c>
      <c r="AS63" s="5">
        <v>0</v>
      </c>
      <c r="AT63" s="5">
        <v>6.5</v>
      </c>
      <c r="AU63" s="5">
        <v>0.3</v>
      </c>
      <c r="AV63" s="5">
        <f>-2.3-AU63</f>
        <v>-2.5999999999999996</v>
      </c>
      <c r="AW63" s="5">
        <v>-4.0999999999999996</v>
      </c>
      <c r="AX63" s="5">
        <v>-0.7</v>
      </c>
      <c r="AY63" s="5"/>
      <c r="AZ63" s="5"/>
      <c r="BA63" s="5"/>
      <c r="BB63" s="5"/>
      <c r="BJ63" s="5">
        <v>1.9</v>
      </c>
      <c r="BK63" s="5">
        <v>-27.3</v>
      </c>
      <c r="BL63" s="5">
        <v>5.4</v>
      </c>
      <c r="BM63" s="5">
        <v>2.5</v>
      </c>
      <c r="BN63" s="5">
        <v>1.5</v>
      </c>
      <c r="BO63" s="5">
        <f t="shared" si="128"/>
        <v>-7.1</v>
      </c>
    </row>
    <row r="64" spans="2:67" x14ac:dyDescent="0.3">
      <c r="B64" t="s">
        <v>114</v>
      </c>
      <c r="AO64" s="5">
        <v>11.9</v>
      </c>
      <c r="AQ64" s="5">
        <v>0.2</v>
      </c>
      <c r="AS64" s="5">
        <v>5.8</v>
      </c>
      <c r="AT64" s="5">
        <v>-2.1</v>
      </c>
      <c r="AU64" s="5">
        <v>-0.6</v>
      </c>
      <c r="AV64" s="5">
        <f>0.5-AU64</f>
        <v>1.1000000000000001</v>
      </c>
      <c r="AW64" s="5">
        <v>0.6</v>
      </c>
      <c r="AX64" s="5">
        <v>0.1</v>
      </c>
      <c r="AY64" s="5"/>
      <c r="AZ64" s="5"/>
      <c r="BA64" s="5"/>
      <c r="BB64" s="5"/>
      <c r="BJ64" s="5">
        <v>4.0999999999999996</v>
      </c>
      <c r="BK64" s="5">
        <v>2.4</v>
      </c>
      <c r="BL64" s="5">
        <v>-3.5</v>
      </c>
      <c r="BM64" s="5">
        <v>1.2</v>
      </c>
      <c r="BN64" s="5">
        <v>0.8</v>
      </c>
      <c r="BO64" s="5">
        <f t="shared" si="128"/>
        <v>1.2000000000000002</v>
      </c>
    </row>
    <row r="65" spans="2:67" x14ac:dyDescent="0.3">
      <c r="B65" t="s">
        <v>93</v>
      </c>
      <c r="AO65" s="5">
        <v>-26</v>
      </c>
      <c r="AQ65" s="5">
        <v>35.6</v>
      </c>
      <c r="AS65" s="5">
        <v>-13.3</v>
      </c>
      <c r="AT65" s="5">
        <v>-0.7</v>
      </c>
      <c r="AU65" s="5">
        <v>33.4</v>
      </c>
      <c r="AV65" s="5">
        <f>33.9-AU65</f>
        <v>0.5</v>
      </c>
      <c r="AW65" s="5">
        <v>-0.1</v>
      </c>
      <c r="AX65" s="5">
        <v>-4.9000000000000004</v>
      </c>
      <c r="AY65" s="5"/>
      <c r="AZ65" s="5"/>
      <c r="BA65" s="5"/>
      <c r="BB65" s="5"/>
      <c r="BJ65" s="5">
        <v>-10.9</v>
      </c>
      <c r="BK65" s="5">
        <v>39.799999999999997</v>
      </c>
      <c r="BL65" s="5">
        <v>-38.4</v>
      </c>
      <c r="BM65" s="5">
        <v>-16.8</v>
      </c>
      <c r="BN65" s="5">
        <v>65</v>
      </c>
      <c r="BO65" s="5">
        <f t="shared" si="128"/>
        <v>28.9</v>
      </c>
    </row>
    <row r="66" spans="2:67" x14ac:dyDescent="0.3">
      <c r="B66" t="s">
        <v>94</v>
      </c>
      <c r="AO66" s="5">
        <v>-414.6</v>
      </c>
      <c r="AQ66" s="5">
        <v>-83.1</v>
      </c>
      <c r="AS66" s="5">
        <v>-357.5</v>
      </c>
      <c r="AT66" s="5">
        <v>397</v>
      </c>
      <c r="AU66" s="5">
        <v>-43.2</v>
      </c>
      <c r="AV66" s="5">
        <f>72.7-AU66</f>
        <v>115.9</v>
      </c>
      <c r="AW66" s="5">
        <v>-271.3</v>
      </c>
      <c r="AX66" s="5">
        <v>293.10000000000002</v>
      </c>
      <c r="AY66" s="5"/>
      <c r="AZ66" s="5"/>
      <c r="BA66" s="5"/>
      <c r="BB66" s="5"/>
      <c r="BJ66" s="5">
        <v>361.1</v>
      </c>
      <c r="BK66" s="5">
        <v>282.39999999999998</v>
      </c>
      <c r="BL66" s="5">
        <v>-329.6</v>
      </c>
      <c r="BM66" s="5">
        <v>229.6</v>
      </c>
      <c r="BN66" s="5">
        <v>39.9</v>
      </c>
      <c r="BO66" s="5">
        <f t="shared" si="128"/>
        <v>94.5</v>
      </c>
    </row>
    <row r="67" spans="2:67" x14ac:dyDescent="0.3">
      <c r="B67" t="s">
        <v>95</v>
      </c>
      <c r="AO67" s="5">
        <v>-11.3</v>
      </c>
      <c r="AQ67" s="5">
        <v>-4</v>
      </c>
      <c r="AS67" s="5">
        <v>1.7</v>
      </c>
      <c r="AT67" s="5">
        <v>4.7</v>
      </c>
      <c r="AU67" s="5">
        <v>8.5</v>
      </c>
      <c r="AV67" s="5">
        <f>-2.1-AU67</f>
        <v>-10.6</v>
      </c>
      <c r="AW67" s="5">
        <v>-90.5</v>
      </c>
      <c r="AX67" s="5">
        <v>97.5</v>
      </c>
      <c r="AY67" s="5"/>
      <c r="AZ67" s="5"/>
      <c r="BA67" s="5"/>
      <c r="BB67" s="5"/>
      <c r="BJ67" s="5">
        <v>3.6</v>
      </c>
      <c r="BK67" s="5">
        <v>8.4</v>
      </c>
      <c r="BL67" s="5">
        <v>-6.5</v>
      </c>
      <c r="BM67" s="5">
        <v>-25.2</v>
      </c>
      <c r="BN67" s="5">
        <v>10.4</v>
      </c>
      <c r="BO67" s="5">
        <f t="shared" si="128"/>
        <v>4.9000000000000057</v>
      </c>
    </row>
    <row r="68" spans="2:67" x14ac:dyDescent="0.3">
      <c r="B68" t="s">
        <v>49</v>
      </c>
      <c r="AO68" s="5">
        <v>0</v>
      </c>
      <c r="AQ68" s="5">
        <v>-0.2</v>
      </c>
      <c r="AS68" s="5">
        <v>-3.8</v>
      </c>
      <c r="AT68" s="5">
        <v>2.7</v>
      </c>
      <c r="AU68" s="5">
        <v>-5.0999999999999996</v>
      </c>
      <c r="AV68" s="5">
        <f>-3.4-AU68</f>
        <v>1.6999999999999997</v>
      </c>
      <c r="AW68" s="5">
        <v>-3.3</v>
      </c>
      <c r="AX68" s="5">
        <v>10.4</v>
      </c>
      <c r="AY68" s="5"/>
      <c r="AZ68" s="5"/>
      <c r="BA68" s="5"/>
      <c r="BB68" s="5"/>
      <c r="BJ68" s="5">
        <v>-75.900000000000006</v>
      </c>
      <c r="BK68" s="5">
        <v>-87</v>
      </c>
      <c r="BL68" s="5">
        <v>-21.7</v>
      </c>
      <c r="BM68" s="5">
        <v>172.4</v>
      </c>
      <c r="BN68" s="5">
        <v>-2.4</v>
      </c>
      <c r="BO68" s="5">
        <f t="shared" si="128"/>
        <v>3.7000000000000011</v>
      </c>
    </row>
    <row r="69" spans="2:67" x14ac:dyDescent="0.3">
      <c r="B69" t="s">
        <v>102</v>
      </c>
      <c r="AO69" s="5">
        <v>672.7</v>
      </c>
      <c r="AQ69" s="5">
        <v>-22.3</v>
      </c>
      <c r="AS69" s="5">
        <v>381.9</v>
      </c>
      <c r="AT69" s="5">
        <v>-512.20000000000005</v>
      </c>
      <c r="AU69" s="5">
        <v>-87.8</v>
      </c>
      <c r="AV69" s="5">
        <f>-143.7-AU69</f>
        <v>-55.899999999999991</v>
      </c>
      <c r="AW69" s="5">
        <v>331.5</v>
      </c>
      <c r="AX69" s="5">
        <v>-367.3</v>
      </c>
      <c r="AY69" s="5"/>
      <c r="AZ69" s="5"/>
      <c r="BA69" s="5"/>
      <c r="BB69" s="5"/>
      <c r="BJ69" s="5">
        <v>-792.8</v>
      </c>
      <c r="BK69" s="5">
        <v>-78.599999999999994</v>
      </c>
      <c r="BL69" s="5">
        <v>224.4</v>
      </c>
      <c r="BM69" s="5">
        <v>-66.2</v>
      </c>
      <c r="BN69" s="5">
        <v>-397.7</v>
      </c>
      <c r="BO69" s="5">
        <f t="shared" si="128"/>
        <v>-179.5</v>
      </c>
    </row>
    <row r="70" spans="2:67" x14ac:dyDescent="0.3">
      <c r="B70" t="s">
        <v>97</v>
      </c>
      <c r="AO70" s="5">
        <v>8.1</v>
      </c>
      <c r="AQ70" s="5">
        <v>-0.6</v>
      </c>
      <c r="AS70" s="5">
        <v>-3.7</v>
      </c>
      <c r="AT70" s="5">
        <v>-1</v>
      </c>
      <c r="AU70" s="5">
        <v>1.1000000000000001</v>
      </c>
      <c r="AV70" s="5">
        <f>0.5-AU70</f>
        <v>-0.60000000000000009</v>
      </c>
      <c r="AW70" s="5">
        <v>0.1</v>
      </c>
      <c r="AX70" s="5">
        <v>1</v>
      </c>
      <c r="AY70" s="5"/>
      <c r="AZ70" s="5"/>
      <c r="BA70" s="5"/>
      <c r="BB70" s="5"/>
      <c r="BJ70" s="5">
        <v>4.0999999999999996</v>
      </c>
      <c r="BK70" s="5">
        <v>19</v>
      </c>
      <c r="BL70" s="5">
        <v>-0.9</v>
      </c>
      <c r="BM70" s="5">
        <v>-4.9000000000000004</v>
      </c>
      <c r="BN70" s="5">
        <v>-8.1</v>
      </c>
      <c r="BO70" s="5">
        <f t="shared" si="128"/>
        <v>1.6</v>
      </c>
    </row>
    <row r="71" spans="2:67" x14ac:dyDescent="0.3">
      <c r="B71" t="s">
        <v>105</v>
      </c>
      <c r="AO71" s="5">
        <v>-0.7</v>
      </c>
      <c r="AQ71" s="5">
        <v>0</v>
      </c>
      <c r="AS71" s="5">
        <v>-1</v>
      </c>
      <c r="AT71" s="5">
        <v>-0.5</v>
      </c>
      <c r="AU71" s="5">
        <v>-1.5</v>
      </c>
      <c r="AV71" s="5">
        <f>-10.2-AU71</f>
        <v>-8.6999999999999993</v>
      </c>
      <c r="AW71" s="5">
        <v>22.2</v>
      </c>
      <c r="AX71" s="5">
        <v>-9</v>
      </c>
      <c r="AY71" s="5"/>
      <c r="AZ71" s="5"/>
      <c r="BA71" s="5"/>
      <c r="BB71" s="5"/>
      <c r="BJ71" s="5">
        <v>0</v>
      </c>
      <c r="BK71" s="5">
        <v>-3</v>
      </c>
      <c r="BL71" s="5">
        <v>1.5</v>
      </c>
      <c r="BM71" s="5">
        <v>0</v>
      </c>
      <c r="BN71" s="5">
        <v>-2.9</v>
      </c>
      <c r="BO71" s="5">
        <f t="shared" si="128"/>
        <v>3</v>
      </c>
    </row>
    <row r="72" spans="2:67" s="1" customFormat="1" x14ac:dyDescent="0.3">
      <c r="B72" s="1" t="s">
        <v>115</v>
      </c>
      <c r="AO72" s="10">
        <f>AO55+SUM(AO56:AO71)</f>
        <v>176.90000000000015</v>
      </c>
      <c r="AQ72" s="10">
        <f>AQ55+SUM(AQ56:AQ71)</f>
        <v>-102.90000000000003</v>
      </c>
      <c r="AS72" s="10">
        <f>AS55+SUM(AS56:AS71)</f>
        <v>19.099999999999934</v>
      </c>
      <c r="AT72" s="10">
        <f>AT55+SUM(AT56:AT71)</f>
        <v>-11.000000000000249</v>
      </c>
      <c r="AU72" s="10">
        <f>AU55+SUM(AU56:AU71)</f>
        <v>-109.80000000000003</v>
      </c>
      <c r="AV72" s="10">
        <f>AV55+SUM(AV56:AV71)</f>
        <v>68.599999999999966</v>
      </c>
      <c r="AW72" s="10">
        <f t="shared" ref="AW72:AX72" si="129">AW55+SUM(AW56:AW71)</f>
        <v>24.500000000000057</v>
      </c>
      <c r="AX72" s="10">
        <f t="shared" si="129"/>
        <v>162.29999999999984</v>
      </c>
      <c r="AY72" s="10"/>
      <c r="AZ72" s="10"/>
      <c r="BA72" s="10"/>
      <c r="BB72" s="10"/>
      <c r="BJ72" s="10">
        <f t="shared" ref="BJ72:BO72" si="130">BJ55+SUM(BJ56:BJ71)</f>
        <v>-797.69999999999993</v>
      </c>
      <c r="BK72" s="10">
        <f t="shared" si="130"/>
        <v>123.69999999999925</v>
      </c>
      <c r="BL72" s="10">
        <f t="shared" si="130"/>
        <v>-423.79999999999882</v>
      </c>
      <c r="BM72" s="10">
        <f t="shared" si="130"/>
        <v>107.60000000000002</v>
      </c>
      <c r="BN72" s="10">
        <f t="shared" si="130"/>
        <v>-203.90000000000072</v>
      </c>
      <c r="BO72" s="10">
        <f t="shared" si="130"/>
        <v>145.59999999999951</v>
      </c>
    </row>
    <row r="73" spans="2:67" x14ac:dyDescent="0.3">
      <c r="B73" t="s">
        <v>96</v>
      </c>
      <c r="AS73" s="5">
        <v>13.1</v>
      </c>
      <c r="AV73" s="5"/>
      <c r="AW73" s="5">
        <v>5.5</v>
      </c>
      <c r="AX73" s="5">
        <v>3.5</v>
      </c>
      <c r="AY73" s="5"/>
      <c r="AZ73" s="5"/>
      <c r="BA73" s="5"/>
      <c r="BB73" s="5"/>
      <c r="BJ73" s="5">
        <v>78.5</v>
      </c>
      <c r="BK73" s="5">
        <v>60</v>
      </c>
      <c r="BL73" s="5">
        <v>62</v>
      </c>
      <c r="BM73" s="5">
        <v>55.9</v>
      </c>
      <c r="BN73" s="5">
        <v>34.9</v>
      </c>
      <c r="BO73" s="5">
        <v>16.100000000000001</v>
      </c>
    </row>
    <row r="74" spans="2:67" s="1" customFormat="1" x14ac:dyDescent="0.3">
      <c r="B74" s="1" t="s">
        <v>118</v>
      </c>
      <c r="AU74" s="10">
        <f t="shared" ref="AU74:AW74" si="131">AU72-AU73</f>
        <v>-109.80000000000003</v>
      </c>
      <c r="AV74" s="10">
        <f t="shared" si="131"/>
        <v>68.599999999999966</v>
      </c>
      <c r="AW74" s="10">
        <f t="shared" si="131"/>
        <v>19.000000000000057</v>
      </c>
      <c r="AX74" s="10">
        <f>AX72-AX73</f>
        <v>158.79999999999984</v>
      </c>
      <c r="AY74" s="10"/>
      <c r="AZ74" s="10"/>
      <c r="BA74" s="10"/>
      <c r="BB74" s="10"/>
      <c r="BJ74" s="10">
        <f t="shared" ref="BJ74:BN74" si="132">BJ72-BJ73</f>
        <v>-876.19999999999993</v>
      </c>
      <c r="BK74" s="10">
        <f t="shared" si="132"/>
        <v>63.69999999999925</v>
      </c>
      <c r="BL74" s="10">
        <f t="shared" si="132"/>
        <v>-485.79999999999882</v>
      </c>
      <c r="BM74" s="10">
        <f t="shared" si="132"/>
        <v>51.700000000000024</v>
      </c>
      <c r="BN74" s="10">
        <f t="shared" si="132"/>
        <v>-238.80000000000072</v>
      </c>
      <c r="BO74" s="10">
        <f>BO72-BO73</f>
        <v>129.49999999999952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Mniszek</cp:lastModifiedBy>
  <dcterms:created xsi:type="dcterms:W3CDTF">2020-10-17T13:44:39Z</dcterms:created>
  <dcterms:modified xsi:type="dcterms:W3CDTF">2025-04-04T09:33:08Z</dcterms:modified>
</cp:coreProperties>
</file>