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36C61DC-D82B-494B-9906-7A239926BB51}" xr6:coauthVersionLast="47" xr6:coauthVersionMax="47" xr10:uidLastSave="{00000000-0000-0000-0000-000000000000}"/>
  <bookViews>
    <workbookView xWindow="-108" yWindow="-108" windowWidth="23256" windowHeight="12576" activeTab="1" xr2:uid="{AC685D6A-8DC8-48D8-9A0E-762C4546B5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3" i="2" l="1"/>
  <c r="AN22" i="2"/>
  <c r="AJ5" i="2"/>
  <c r="AI5" i="2"/>
  <c r="AH5" i="2"/>
  <c r="AG5" i="2"/>
  <c r="AF5" i="2"/>
  <c r="AE5" i="2"/>
  <c r="AD5" i="2"/>
  <c r="AC5" i="2"/>
  <c r="AB5" i="2"/>
  <c r="AA5" i="2"/>
  <c r="AB13" i="2"/>
  <c r="AC13" i="2" s="1"/>
  <c r="AD13" i="2" s="1"/>
  <c r="AE13" i="2" s="1"/>
  <c r="AF13" i="2" s="1"/>
  <c r="AG13" i="2" s="1"/>
  <c r="AH13" i="2" s="1"/>
  <c r="AI13" i="2" s="1"/>
  <c r="AJ13" i="2" s="1"/>
  <c r="AA13" i="2"/>
  <c r="R16" i="2"/>
  <c r="Q16" i="2"/>
  <c r="P16" i="2"/>
  <c r="O16" i="2"/>
  <c r="R15" i="2"/>
  <c r="R17" i="2" s="1"/>
  <c r="Q15" i="2"/>
  <c r="Q17" i="2" s="1"/>
  <c r="P15" i="2"/>
  <c r="P17" i="2" s="1"/>
  <c r="O15" i="2"/>
  <c r="O17" i="2" s="1"/>
  <c r="R14" i="2"/>
  <c r="Q14" i="2"/>
  <c r="Q24" i="2" s="1"/>
  <c r="P14" i="2"/>
  <c r="O14" i="2"/>
  <c r="R13" i="2"/>
  <c r="Q13" i="2"/>
  <c r="P13" i="2"/>
  <c r="O13" i="2"/>
  <c r="Z13" i="2" s="1"/>
  <c r="R12" i="2"/>
  <c r="R23" i="2" s="1"/>
  <c r="Q12" i="2"/>
  <c r="P12" i="2"/>
  <c r="O12" i="2"/>
  <c r="Z10" i="2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Z9" i="2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Z8" i="2"/>
  <c r="Z6" i="2"/>
  <c r="Z4" i="2"/>
  <c r="Z3" i="2"/>
  <c r="R11" i="2"/>
  <c r="Q11" i="2"/>
  <c r="P11" i="2"/>
  <c r="O11" i="2"/>
  <c r="R10" i="2"/>
  <c r="Q10" i="2"/>
  <c r="P10" i="2"/>
  <c r="O10" i="2"/>
  <c r="R9" i="2"/>
  <c r="Q9" i="2"/>
  <c r="P9" i="2"/>
  <c r="O9" i="2"/>
  <c r="R7" i="2"/>
  <c r="Q7" i="2"/>
  <c r="P7" i="2"/>
  <c r="O7" i="2"/>
  <c r="Q6" i="2"/>
  <c r="Q21" i="2" s="1"/>
  <c r="P6" i="2"/>
  <c r="P21" i="2" s="1"/>
  <c r="O6" i="2"/>
  <c r="O21" i="2" s="1"/>
  <c r="R6" i="2"/>
  <c r="R21" i="2" s="1"/>
  <c r="Q5" i="2"/>
  <c r="Q20" i="2" s="1"/>
  <c r="O5" i="2"/>
  <c r="O4" i="2" s="1"/>
  <c r="P5" i="2"/>
  <c r="P4" i="2" s="1"/>
  <c r="R5" i="2"/>
  <c r="R20" i="2" s="1"/>
  <c r="R3" i="2"/>
  <c r="Q3" i="2"/>
  <c r="Q19" i="2" s="1"/>
  <c r="P3" i="2"/>
  <c r="O3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N16" i="2"/>
  <c r="N5" i="2"/>
  <c r="R25" i="2"/>
  <c r="Q25" i="2"/>
  <c r="P23" i="2"/>
  <c r="R22" i="2"/>
  <c r="Q22" i="2"/>
  <c r="P22" i="2"/>
  <c r="R19" i="2"/>
  <c r="O19" i="2"/>
  <c r="D7" i="1"/>
  <c r="D6" i="1"/>
  <c r="D4" i="1"/>
  <c r="M5" i="2"/>
  <c r="H68" i="2"/>
  <c r="H67" i="2"/>
  <c r="H66" i="2"/>
  <c r="H65" i="2"/>
  <c r="H64" i="2"/>
  <c r="H63" i="2"/>
  <c r="H61" i="2"/>
  <c r="H59" i="2"/>
  <c r="H58" i="2"/>
  <c r="H57" i="2"/>
  <c r="H56" i="2"/>
  <c r="H54" i="2"/>
  <c r="L68" i="2"/>
  <c r="L67" i="2"/>
  <c r="L66" i="2"/>
  <c r="L65" i="2"/>
  <c r="L64" i="2"/>
  <c r="L61" i="2"/>
  <c r="L59" i="2"/>
  <c r="L58" i="2"/>
  <c r="L57" i="2"/>
  <c r="L56" i="2"/>
  <c r="L54" i="2"/>
  <c r="G55" i="2"/>
  <c r="H55" i="2" s="1"/>
  <c r="K55" i="2"/>
  <c r="L55" i="2" s="1"/>
  <c r="K50" i="2"/>
  <c r="K49" i="2"/>
  <c r="K45" i="2"/>
  <c r="K39" i="2"/>
  <c r="K32" i="2"/>
  <c r="K27" i="2"/>
  <c r="J27" i="2"/>
  <c r="L27" i="2"/>
  <c r="J50" i="2"/>
  <c r="J49" i="2"/>
  <c r="J45" i="2"/>
  <c r="J39" i="2"/>
  <c r="J32" i="2"/>
  <c r="L50" i="2"/>
  <c r="L49" i="2"/>
  <c r="L45" i="2"/>
  <c r="L39" i="2"/>
  <c r="L32" i="2"/>
  <c r="O25" i="2" l="1"/>
  <c r="Z14" i="2"/>
  <c r="P24" i="2"/>
  <c r="R24" i="2"/>
  <c r="O24" i="2"/>
  <c r="Q23" i="2"/>
  <c r="Z12" i="2"/>
  <c r="O23" i="2"/>
  <c r="Q4" i="2"/>
  <c r="R4" i="2"/>
  <c r="P20" i="2"/>
  <c r="P25" i="2"/>
  <c r="P19" i="2"/>
  <c r="O20" i="2"/>
  <c r="O22" i="2"/>
  <c r="L40" i="2"/>
  <c r="L51" i="2"/>
  <c r="K51" i="2"/>
  <c r="K40" i="2"/>
  <c r="J51" i="2"/>
  <c r="J40" i="2"/>
  <c r="V24" i="2" l="1"/>
  <c r="U24" i="2"/>
  <c r="T24" i="2"/>
  <c r="L24" i="2"/>
  <c r="K24" i="2"/>
  <c r="J24" i="2"/>
  <c r="I24" i="2"/>
  <c r="H24" i="2"/>
  <c r="G24" i="2"/>
  <c r="F24" i="2"/>
  <c r="E24" i="2"/>
  <c r="D24" i="2"/>
  <c r="C24" i="2"/>
  <c r="L5" i="2"/>
  <c r="AN26" i="2" l="1"/>
  <c r="Y9" i="2"/>
  <c r="N19" i="2"/>
  <c r="M19" i="2"/>
  <c r="L20" i="2"/>
  <c r="V19" i="2"/>
  <c r="U19" i="2"/>
  <c r="V21" i="2"/>
  <c r="U21" i="2"/>
  <c r="T21" i="2"/>
  <c r="L21" i="2"/>
  <c r="K21" i="2"/>
  <c r="J21" i="2"/>
  <c r="I21" i="2"/>
  <c r="H21" i="2"/>
  <c r="F21" i="2"/>
  <c r="E21" i="2"/>
  <c r="D21" i="2"/>
  <c r="C21" i="2"/>
  <c r="G21" i="2"/>
  <c r="L19" i="2"/>
  <c r="K19" i="2"/>
  <c r="J19" i="2"/>
  <c r="I19" i="2"/>
  <c r="H19" i="2"/>
  <c r="G19" i="2"/>
  <c r="Y14" i="2"/>
  <c r="Y13" i="2"/>
  <c r="Y8" i="2"/>
  <c r="X14" i="2"/>
  <c r="X13" i="2"/>
  <c r="X12" i="2"/>
  <c r="X10" i="2"/>
  <c r="X9" i="2"/>
  <c r="X8" i="2"/>
  <c r="X6" i="2"/>
  <c r="X4" i="2"/>
  <c r="X3" i="2"/>
  <c r="W14" i="2"/>
  <c r="W13" i="2"/>
  <c r="W12" i="2"/>
  <c r="W10" i="2"/>
  <c r="W9" i="2"/>
  <c r="W6" i="2"/>
  <c r="W21" i="2" s="1"/>
  <c r="W4" i="2"/>
  <c r="W3" i="2"/>
  <c r="W19" i="2" s="1"/>
  <c r="V5" i="2"/>
  <c r="V7" i="2" s="1"/>
  <c r="V11" i="2" s="1"/>
  <c r="V15" i="2" s="1"/>
  <c r="U5" i="2"/>
  <c r="U7" i="2" s="1"/>
  <c r="U11" i="2" s="1"/>
  <c r="U15" i="2" s="1"/>
  <c r="T5" i="2"/>
  <c r="T7" i="2" s="1"/>
  <c r="T11" i="2" s="1"/>
  <c r="T15" i="2" s="1"/>
  <c r="C5" i="2"/>
  <c r="C7" i="2" s="1"/>
  <c r="C11" i="2" s="1"/>
  <c r="C15" i="2" s="1"/>
  <c r="D8" i="2"/>
  <c r="W8" i="2" s="1"/>
  <c r="D5" i="2"/>
  <c r="D7" i="2" s="1"/>
  <c r="D11" i="2" s="1"/>
  <c r="D15" i="2" s="1"/>
  <c r="H5" i="2"/>
  <c r="H7" i="2" s="1"/>
  <c r="H11" i="2" s="1"/>
  <c r="H15" i="2" s="1"/>
  <c r="H53" i="2" s="1"/>
  <c r="H69" i="2" s="1"/>
  <c r="E5" i="2"/>
  <c r="E7" i="2" s="1"/>
  <c r="E11" i="2" s="1"/>
  <c r="E15" i="2" s="1"/>
  <c r="I5" i="2"/>
  <c r="I7" i="2" s="1"/>
  <c r="I11" i="2" s="1"/>
  <c r="I15" i="2" s="1"/>
  <c r="F5" i="2"/>
  <c r="F7" i="2" s="1"/>
  <c r="F11" i="2" s="1"/>
  <c r="F15" i="2" s="1"/>
  <c r="J5" i="2"/>
  <c r="J7" i="2" s="1"/>
  <c r="J11" i="2" s="1"/>
  <c r="J15" i="2" s="1"/>
  <c r="G5" i="2"/>
  <c r="G7" i="2" s="1"/>
  <c r="G11" i="2" s="1"/>
  <c r="G15" i="2" s="1"/>
  <c r="G53" i="2" s="1"/>
  <c r="G69" i="2" s="1"/>
  <c r="K5" i="2"/>
  <c r="K7" i="2" s="1"/>
  <c r="K11" i="2" s="1"/>
  <c r="K15" i="2" s="1"/>
  <c r="K53" i="2" s="1"/>
  <c r="K69" i="2" s="1"/>
  <c r="D8" i="1"/>
  <c r="G3" i="1"/>
  <c r="D5" i="1"/>
  <c r="X21" i="2" l="1"/>
  <c r="G23" i="2"/>
  <c r="C20" i="2"/>
  <c r="U20" i="2"/>
  <c r="H70" i="2"/>
  <c r="D23" i="2"/>
  <c r="N21" i="2"/>
  <c r="X19" i="2"/>
  <c r="G20" i="2"/>
  <c r="C22" i="2"/>
  <c r="K22" i="2"/>
  <c r="G22" i="2"/>
  <c r="C23" i="2"/>
  <c r="H23" i="2"/>
  <c r="V17" i="2"/>
  <c r="V25" i="2"/>
  <c r="M21" i="2"/>
  <c r="U22" i="2"/>
  <c r="W24" i="2"/>
  <c r="F23" i="2"/>
  <c r="F17" i="2"/>
  <c r="F25" i="2"/>
  <c r="E17" i="2"/>
  <c r="E25" i="2"/>
  <c r="X24" i="2"/>
  <c r="D17" i="2"/>
  <c r="D25" i="2"/>
  <c r="D20" i="2"/>
  <c r="I20" i="2"/>
  <c r="J23" i="2"/>
  <c r="E20" i="2"/>
  <c r="E22" i="2"/>
  <c r="J20" i="2"/>
  <c r="H22" i="2"/>
  <c r="K23" i="2"/>
  <c r="T23" i="2"/>
  <c r="J17" i="2"/>
  <c r="J25" i="2"/>
  <c r="I17" i="2"/>
  <c r="I25" i="2"/>
  <c r="E23" i="2"/>
  <c r="V22" i="2"/>
  <c r="H17" i="2"/>
  <c r="H25" i="2"/>
  <c r="H20" i="2"/>
  <c r="I23" i="2"/>
  <c r="X5" i="2"/>
  <c r="X20" i="2" s="1"/>
  <c r="D22" i="2"/>
  <c r="K17" i="2"/>
  <c r="K25" i="2"/>
  <c r="G17" i="2"/>
  <c r="G25" i="2"/>
  <c r="C17" i="2"/>
  <c r="C25" i="2"/>
  <c r="F20" i="2"/>
  <c r="F22" i="2"/>
  <c r="K20" i="2"/>
  <c r="I22" i="2"/>
  <c r="T20" i="2"/>
  <c r="U23" i="2"/>
  <c r="J22" i="2"/>
  <c r="V23" i="2"/>
  <c r="Y3" i="2"/>
  <c r="M24" i="2"/>
  <c r="T17" i="2"/>
  <c r="T25" i="2"/>
  <c r="U17" i="2"/>
  <c r="U25" i="2"/>
  <c r="V20" i="2"/>
  <c r="T22" i="2"/>
  <c r="N24" i="2"/>
  <c r="D9" i="1"/>
  <c r="L7" i="2"/>
  <c r="Y10" i="2"/>
  <c r="N20" i="2"/>
  <c r="W5" i="2"/>
  <c r="Y6" i="2" l="1"/>
  <c r="Y21" i="2" s="1"/>
  <c r="X7" i="2"/>
  <c r="X22" i="2" s="1"/>
  <c r="N7" i="2"/>
  <c r="N22" i="2" s="1"/>
  <c r="AA3" i="2"/>
  <c r="Z5" i="2"/>
  <c r="Y19" i="2"/>
  <c r="M20" i="2"/>
  <c r="M7" i="2"/>
  <c r="W7" i="2"/>
  <c r="W20" i="2"/>
  <c r="Y24" i="2"/>
  <c r="Y4" i="2"/>
  <c r="Y5" i="2" s="1"/>
  <c r="Y20" i="2" s="1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Z24" i="2"/>
  <c r="Z21" i="2"/>
  <c r="Z19" i="2"/>
  <c r="L22" i="2"/>
  <c r="L11" i="2"/>
  <c r="N11" i="2" l="1"/>
  <c r="N23" i="2" s="1"/>
  <c r="X11" i="2"/>
  <c r="X15" i="2" s="1"/>
  <c r="AB3" i="2"/>
  <c r="AA24" i="2"/>
  <c r="M11" i="2"/>
  <c r="M22" i="2"/>
  <c r="W11" i="2"/>
  <c r="W22" i="2"/>
  <c r="Y7" i="2"/>
  <c r="Y22" i="2" s="1"/>
  <c r="Z20" i="2"/>
  <c r="Z7" i="2"/>
  <c r="L15" i="2"/>
  <c r="L53" i="2" s="1"/>
  <c r="L69" i="2" s="1"/>
  <c r="L70" i="2" s="1"/>
  <c r="AA6" i="2"/>
  <c r="AA21" i="2" s="1"/>
  <c r="AA19" i="2"/>
  <c r="N15" i="2" l="1"/>
  <c r="N25" i="2" s="1"/>
  <c r="AB6" i="2"/>
  <c r="AB21" i="2" s="1"/>
  <c r="AB4" i="2"/>
  <c r="AB24" i="2"/>
  <c r="X23" i="2"/>
  <c r="M23" i="2"/>
  <c r="X17" i="2"/>
  <c r="X25" i="2"/>
  <c r="Y11" i="2"/>
  <c r="W15" i="2"/>
  <c r="W23" i="2"/>
  <c r="L17" i="2"/>
  <c r="L25" i="2"/>
  <c r="L23" i="2"/>
  <c r="AC3" i="2"/>
  <c r="AB19" i="2"/>
  <c r="AA20" i="2"/>
  <c r="AA7" i="2"/>
  <c r="AA4" i="2"/>
  <c r="Z22" i="2"/>
  <c r="Z11" i="2"/>
  <c r="N17" i="2" l="1"/>
  <c r="M15" i="2"/>
  <c r="M25" i="2" s="1"/>
  <c r="W17" i="2"/>
  <c r="W25" i="2"/>
  <c r="Z23" i="2"/>
  <c r="AC24" i="2"/>
  <c r="AC6" i="2"/>
  <c r="AC21" i="2" s="1"/>
  <c r="Y12" i="2"/>
  <c r="Y23" i="2" s="1"/>
  <c r="AD3" i="2"/>
  <c r="AC19" i="2"/>
  <c r="AB7" i="2"/>
  <c r="AB20" i="2"/>
  <c r="AA22" i="2"/>
  <c r="AA11" i="2"/>
  <c r="AA12" i="2" s="1"/>
  <c r="M17" i="2" l="1"/>
  <c r="Z15" i="2"/>
  <c r="Z17" i="2" s="1"/>
  <c r="Y15" i="2"/>
  <c r="Y17" i="2" s="1"/>
  <c r="AD24" i="2"/>
  <c r="AD6" i="2"/>
  <c r="AD21" i="2" s="1"/>
  <c r="AA23" i="2"/>
  <c r="AC4" i="2"/>
  <c r="AC20" i="2"/>
  <c r="AC7" i="2"/>
  <c r="AE3" i="2"/>
  <c r="AD19" i="2"/>
  <c r="AB11" i="2"/>
  <c r="AB12" i="2" s="1"/>
  <c r="AB22" i="2"/>
  <c r="Z25" i="2" l="1"/>
  <c r="Y25" i="2"/>
  <c r="AB23" i="2"/>
  <c r="AE24" i="2"/>
  <c r="AE6" i="2"/>
  <c r="AE21" i="2" s="1"/>
  <c r="AA15" i="2"/>
  <c r="AF3" i="2"/>
  <c r="AE19" i="2"/>
  <c r="AC11" i="2"/>
  <c r="AC12" i="2" s="1"/>
  <c r="AC22" i="2"/>
  <c r="AD7" i="2"/>
  <c r="AD20" i="2"/>
  <c r="AD4" i="2"/>
  <c r="AB15" i="2" l="1"/>
  <c r="AB25" i="2" s="1"/>
  <c r="AF24" i="2"/>
  <c r="AF6" i="2"/>
  <c r="AF21" i="2" s="1"/>
  <c r="AC23" i="2"/>
  <c r="AA17" i="2"/>
  <c r="AA25" i="2"/>
  <c r="AD22" i="2"/>
  <c r="AD11" i="2"/>
  <c r="AD12" i="2" s="1"/>
  <c r="AE20" i="2"/>
  <c r="AE7" i="2"/>
  <c r="AE4" i="2"/>
  <c r="AG3" i="2"/>
  <c r="AF19" i="2"/>
  <c r="AB17" i="2" l="1"/>
  <c r="AC15" i="2"/>
  <c r="AC25" i="2" s="1"/>
  <c r="AG24" i="2"/>
  <c r="AG6" i="2"/>
  <c r="AG21" i="2" s="1"/>
  <c r="AD23" i="2"/>
  <c r="AH3" i="2"/>
  <c r="AG19" i="2"/>
  <c r="AE11" i="2"/>
  <c r="AE12" i="2" s="1"/>
  <c r="AE22" i="2"/>
  <c r="AF4" i="2"/>
  <c r="AF7" i="2"/>
  <c r="AF20" i="2"/>
  <c r="AC17" i="2" l="1"/>
  <c r="AH24" i="2"/>
  <c r="AH6" i="2"/>
  <c r="AH21" i="2" s="1"/>
  <c r="AD15" i="2"/>
  <c r="AD25" i="2" s="1"/>
  <c r="AG20" i="2"/>
  <c r="AG7" i="2"/>
  <c r="AG4" i="2"/>
  <c r="AE23" i="2"/>
  <c r="AF11" i="2"/>
  <c r="AF12" i="2" s="1"/>
  <c r="AF22" i="2"/>
  <c r="AI3" i="2"/>
  <c r="AH19" i="2"/>
  <c r="AD17" i="2" l="1"/>
  <c r="AF23" i="2"/>
  <c r="AI24" i="2"/>
  <c r="AI6" i="2"/>
  <c r="AI21" i="2" s="1"/>
  <c r="AG22" i="2"/>
  <c r="AG11" i="2"/>
  <c r="AG12" i="2" s="1"/>
  <c r="AH20" i="2"/>
  <c r="AH4" i="2"/>
  <c r="AH7" i="2"/>
  <c r="AJ3" i="2"/>
  <c r="AI19" i="2"/>
  <c r="AE15" i="2"/>
  <c r="AF15" i="2" l="1"/>
  <c r="AF25" i="2" s="1"/>
  <c r="AJ24" i="2"/>
  <c r="AJ6" i="2"/>
  <c r="AJ21" i="2" s="1"/>
  <c r="AE17" i="2"/>
  <c r="AE25" i="2"/>
  <c r="AI20" i="2"/>
  <c r="AI7" i="2"/>
  <c r="AJ4" i="2"/>
  <c r="AJ19" i="2"/>
  <c r="AI4" i="2"/>
  <c r="AG23" i="2"/>
  <c r="AH11" i="2"/>
  <c r="AH12" i="2" s="1"/>
  <c r="AH22" i="2"/>
  <c r="AF17" i="2" l="1"/>
  <c r="AH15" i="2"/>
  <c r="AH25" i="2" s="1"/>
  <c r="AJ20" i="2"/>
  <c r="AJ7" i="2"/>
  <c r="AI22" i="2"/>
  <c r="AI11" i="2"/>
  <c r="AI12" i="2" s="1"/>
  <c r="AG15" i="2"/>
  <c r="AH17" i="2" l="1"/>
  <c r="AH23" i="2"/>
  <c r="AG17" i="2"/>
  <c r="AG25" i="2"/>
  <c r="AI23" i="2"/>
  <c r="AJ11" i="2"/>
  <c r="AJ12" i="2" s="1"/>
  <c r="AJ22" i="2"/>
  <c r="AJ23" i="2" l="1"/>
  <c r="AI15" i="2"/>
  <c r="AJ15" i="2" l="1"/>
  <c r="AJ17" i="2" s="1"/>
  <c r="AI17" i="2"/>
  <c r="AI25" i="2"/>
  <c r="AK15" i="2" l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AN24" i="2" s="1"/>
  <c r="AN25" i="2" s="1"/>
  <c r="AN27" i="2" s="1"/>
  <c r="AJ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</authors>
  <commentList>
    <comment ref="H70" authorId="0" shapeId="0" xr:uid="{BD87C455-48D0-49C3-BFA0-EA6C0EE30588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6 million unaccounted for</t>
        </r>
      </text>
    </comment>
  </commentList>
</comments>
</file>

<file path=xl/sharedStrings.xml><?xml version="1.0" encoding="utf-8"?>
<sst xmlns="http://schemas.openxmlformats.org/spreadsheetml/2006/main" count="104" uniqueCount="87">
  <si>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</si>
  <si>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</si>
  <si>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</si>
  <si>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</si>
  <si>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</si>
  <si>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</si>
  <si>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</si>
  <si>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</si>
  <si>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</si>
  <si>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</si>
  <si>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Q124</t>
  </si>
  <si>
    <t>Revenue</t>
  </si>
  <si>
    <t>Cost of sales</t>
  </si>
  <si>
    <t>SG&amp;A</t>
  </si>
  <si>
    <t>Operating profit</t>
  </si>
  <si>
    <t>Interest income</t>
  </si>
  <si>
    <t>Interest expense</t>
  </si>
  <si>
    <t>Pretax profit</t>
  </si>
  <si>
    <t>Taxes</t>
  </si>
  <si>
    <t>Net profit</t>
  </si>
  <si>
    <t>EPS</t>
  </si>
  <si>
    <t>MI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</si>
  <si>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</si>
  <si>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</si>
  <si>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</si>
  <si>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</si>
  <si>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</si>
  <si>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</si>
  <si>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</si>
  <si>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</si>
  <si>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</si>
  <si>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</si>
  <si>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</si>
  <si>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Gross profit</t>
  </si>
  <si>
    <t>Investments</t>
  </si>
  <si>
    <t>Financial expense</t>
  </si>
  <si>
    <t>Revenue y/y</t>
  </si>
  <si>
    <t>Gross Margin</t>
  </si>
  <si>
    <t>SG&amp;A Margin</t>
  </si>
  <si>
    <t>Operating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</si>
  <si>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</si>
  <si>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</si>
  <si>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</si>
  <si>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</si>
  <si>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</si>
  <si>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</si>
  <si>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</si>
  <si>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</si>
  <si>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</si>
  <si>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</si>
  <si>
    <t>debt is concerning, will margins get better?</t>
  </si>
  <si>
    <t>Net Margin</t>
  </si>
  <si>
    <t>A/R</t>
  </si>
  <si>
    <t>S/R</t>
  </si>
  <si>
    <t>Prepaids</t>
  </si>
  <si>
    <t>Goodwill</t>
  </si>
  <si>
    <t>Intangibles</t>
  </si>
  <si>
    <t>PP&amp;E</t>
  </si>
  <si>
    <t>D/T</t>
  </si>
  <si>
    <t>N/R</t>
  </si>
  <si>
    <t>ONCA</t>
  </si>
  <si>
    <t>S/P</t>
  </si>
  <si>
    <t>A/P</t>
  </si>
  <si>
    <t>T/P</t>
  </si>
  <si>
    <t>ONCL</t>
  </si>
  <si>
    <t>Current assets</t>
  </si>
  <si>
    <t>Non-current assets</t>
  </si>
  <si>
    <t>Total assets</t>
  </si>
  <si>
    <t>Current liabilities</t>
  </si>
  <si>
    <t>Non-current liabilities</t>
  </si>
  <si>
    <t>S/E</t>
  </si>
  <si>
    <t>L+S/E</t>
  </si>
  <si>
    <t>D&amp;A</t>
  </si>
  <si>
    <t>Amortisation</t>
  </si>
  <si>
    <t>SBC</t>
  </si>
  <si>
    <t>Credit provision</t>
  </si>
  <si>
    <t>Lease expense</t>
  </si>
  <si>
    <t>Facilities charges</t>
  </si>
  <si>
    <t>Loss on disposition</t>
  </si>
  <si>
    <t>Other</t>
  </si>
  <si>
    <t>S/R - S/P</t>
  </si>
  <si>
    <t>CFFO</t>
  </si>
  <si>
    <t>Net profit (w/ MI)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</si>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</sst>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15240</xdr:rowOff>
    </xdr:from>
    <xdr:to>
      <xdr:col>14</xdr:col>
      <xdr:colOff>22860</xdr:colOff>
      <xdr:row>54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47A16C-6B3D-955C-DCD6-E3B4C5E3F746}"/>
            </a:ext>
          </a:extLst>
        </xdr:cNvPr>
        <xdr:cNvCxnSpPr/>
      </xdr:nvCxnSpPr>
      <xdr:spPr>
        <a:xfrm>
          <a:off x="9235440" y="15240"/>
          <a:ext cx="0" cy="10012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</xdr:colOff>
      <xdr:row>0</xdr:row>
      <xdr:rowOff>7620</xdr:rowOff>
    </xdr:from>
    <xdr:to>
      <xdr:col>25</xdr:col>
      <xdr:colOff>22860</xdr:colOff>
      <xdr:row>56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0797F25-9883-E56C-07C8-FF9FFB3B0E23}"/>
            </a:ext>
          </a:extLst>
        </xdr:cNvPr>
        <xdr:cNvCxnSpPr/>
      </xdr:nvCxnSpPr>
      <xdr:spPr>
        <a:xfrm>
          <a:off x="15941040" y="7620"/>
          <a:ext cx="0" cy="10340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2981-9185-411C-AB0F-A5F42B1AF254}">
  <dimension ref="C2:H11"/>
  <sheetViews>
    <sheetView workbookViewId="0">
      <selection activeCell="D4" sqref="D4"/>
    </sheetView>
  </sheetViews>
  <sheetFormatPr defaultRowHeight="14.4" x14ac:dyDescent="0.3"/>
  <cols>
    <col min="5" max="5" width="11.21875" customWidth="1"/>
    <col min="6" max="8" width="13.44140625" customWidth="1"/>
  </cols>
  <sheetData>
    <row r="2" spans="3:8" x14ac:dyDescent="0.3">
      <c r="F2" s="2" t="s">
        <v>7</v>
      </c>
      <c r="G2" s="2" t="s">
        <v>8</v>
      </c>
      <c r="H2" s="2" t="s">
        <v>9</v>
      </c>
    </row>
    <row r="3" spans="3:8" x14ac:dyDescent="0.3">
      <c r="C3" t="s">
        <v>0</v>
      </c>
      <c r="D3" s="11">
        <v>92.41</v>
      </c>
      <c r="F3" s="3">
        <v>45751</v>
      </c>
      <c r="G3" s="3">
        <f ca="1">TODAY()</f>
        <v>45751</v>
      </c>
      <c r="H3" s="3">
        <v>45782</v>
      </c>
    </row>
    <row r="4" spans="3:8" x14ac:dyDescent="0.3">
      <c r="C4" t="s">
        <v>1</v>
      </c>
      <c r="D4" s="1">
        <f>247.6</f>
        <v>247.6</v>
      </c>
      <c r="E4" s="2" t="s">
        <v>32</v>
      </c>
    </row>
    <row r="5" spans="3:8" x14ac:dyDescent="0.3">
      <c r="C5" t="s">
        <v>2</v>
      </c>
      <c r="D5" s="1">
        <f>D3*D4</f>
        <v>22880.716</v>
      </c>
    </row>
    <row r="6" spans="3:8" x14ac:dyDescent="0.3">
      <c r="C6" t="s">
        <v>3</v>
      </c>
      <c r="D6" s="1">
        <f>2538.4</f>
        <v>2538.4</v>
      </c>
      <c r="E6" s="2" t="s">
        <v>32</v>
      </c>
    </row>
    <row r="7" spans="3:8" x14ac:dyDescent="0.3">
      <c r="C7" t="s">
        <v>4</v>
      </c>
      <c r="D7" s="1">
        <f>503.4+1075.7+15164.7</f>
        <v>16743.8</v>
      </c>
      <c r="E7" s="2" t="s">
        <v>32</v>
      </c>
    </row>
    <row r="8" spans="3:8" x14ac:dyDescent="0.3">
      <c r="C8" t="s">
        <v>5</v>
      </c>
      <c r="D8" s="1">
        <f>D6-D7</f>
        <v>-14205.4</v>
      </c>
    </row>
    <row r="9" spans="3:8" x14ac:dyDescent="0.3">
      <c r="C9" t="s">
        <v>6</v>
      </c>
      <c r="D9" s="1">
        <f>D5-D8</f>
        <v>37086.116000000002</v>
      </c>
    </row>
    <row r="11" spans="3:8" x14ac:dyDescent="0.3">
      <c r="E1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A0B3-6913-40B3-BC3C-2855853C34E2}">
  <dimension ref="A2:EN70"/>
  <sheetViews>
    <sheetView tabSelected="1" workbookViewId="0">
      <pane xSplit="2" ySplit="2" topLeftCell="X6" activePane="bottomRight" state="frozen"/>
      <selection pane="topRight" activeCell="C1" sqref="C1"/>
      <selection pane="bottomLeft" activeCell="A3" sqref="A3"/>
      <selection pane="bottomRight" activeCell="AM6" sqref="AM6"/>
    </sheetView>
  </sheetViews>
  <sheetFormatPr defaultRowHeight="14.4" x14ac:dyDescent="0.3"/>
  <cols>
    <col min="2" max="2" width="18.77734375" bestFit="1" customWidth="1"/>
    <col min="37" max="37" width="8.88671875" customWidth="1"/>
    <col min="39" max="39" width="13.77734375" customWidth="1"/>
    <col min="40" max="40" width="16.77734375" customWidth="1"/>
  </cols>
  <sheetData>
    <row r="2" spans="1:144" x14ac:dyDescent="0.3"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10</v>
      </c>
      <c r="L2" s="4" t="s">
        <v>30</v>
      </c>
      <c r="M2" s="4" t="s">
        <v>31</v>
      </c>
      <c r="N2" s="4" t="s">
        <v>32</v>
      </c>
      <c r="O2" s="4" t="s">
        <v>83</v>
      </c>
      <c r="P2" s="4" t="s">
        <v>84</v>
      </c>
      <c r="Q2" s="4" t="s">
        <v>85</v>
      </c>
      <c r="R2" s="4" t="s">
        <v>86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1:144" s="6" customFormat="1" x14ac:dyDescent="0.3">
      <c r="A3"/>
      <c r="B3" s="6" t="s">
        <v>11</v>
      </c>
      <c r="C3" s="7">
        <v>2156.3000000000002</v>
      </c>
      <c r="D3" s="7">
        <v>2280.9</v>
      </c>
      <c r="E3" s="7">
        <v>2285.4</v>
      </c>
      <c r="F3" s="7">
        <v>2253</v>
      </c>
      <c r="G3" s="7">
        <v>2292.4</v>
      </c>
      <c r="H3" s="7">
        <v>2452.5</v>
      </c>
      <c r="I3" s="7">
        <v>2475.6999999999998</v>
      </c>
      <c r="J3" s="7">
        <v>2433.8000000000002</v>
      </c>
      <c r="K3" s="7">
        <v>2420.1999999999998</v>
      </c>
      <c r="L3" s="7">
        <v>2568.8000000000002</v>
      </c>
      <c r="M3" s="7">
        <v>2601.6</v>
      </c>
      <c r="N3" s="7">
        <v>2515.4</v>
      </c>
      <c r="O3" s="7">
        <f>K3*1.03</f>
        <v>2492.806</v>
      </c>
      <c r="P3" s="7">
        <f t="shared" ref="P3:R3" si="0">L3*1.03</f>
        <v>2645.864</v>
      </c>
      <c r="Q3" s="7">
        <f t="shared" si="0"/>
        <v>2679.6480000000001</v>
      </c>
      <c r="R3" s="7">
        <f t="shared" si="0"/>
        <v>2590.8620000000001</v>
      </c>
      <c r="T3" s="7">
        <v>4911.8999999999996</v>
      </c>
      <c r="U3" s="7">
        <v>7423.6</v>
      </c>
      <c r="V3" s="7">
        <v>8523.7999999999993</v>
      </c>
      <c r="W3" s="7">
        <f>SUM(C3:F3)</f>
        <v>8975.6</v>
      </c>
      <c r="X3" s="7">
        <f>SUM(G3:J3)</f>
        <v>9654.4</v>
      </c>
      <c r="Y3" s="7">
        <f>SUM(K3:N3)</f>
        <v>10106</v>
      </c>
      <c r="Z3" s="7">
        <f>SUM(O3:R3)</f>
        <v>10409.18</v>
      </c>
      <c r="AA3" s="7">
        <f>Z3*1.03</f>
        <v>10721.455400000001</v>
      </c>
      <c r="AB3" s="7">
        <f>AA3*1.02</f>
        <v>10935.884508000001</v>
      </c>
      <c r="AC3" s="7">
        <f t="shared" ref="AC3:AD3" si="1">AB3*1.02</f>
        <v>11154.602198160001</v>
      </c>
      <c r="AD3" s="7">
        <f t="shared" si="1"/>
        <v>11377.694242123202</v>
      </c>
      <c r="AE3" s="7">
        <f>AD3*1.01</f>
        <v>11491.471184544434</v>
      </c>
      <c r="AF3" s="7">
        <f t="shared" ref="AF3:AJ3" si="2">AE3*1.01</f>
        <v>11606.385896389878</v>
      </c>
      <c r="AG3" s="7">
        <f t="shared" si="2"/>
        <v>11722.449755353777</v>
      </c>
      <c r="AH3" s="7">
        <f t="shared" si="2"/>
        <v>11839.674252907314</v>
      </c>
      <c r="AI3" s="7">
        <f t="shared" si="2"/>
        <v>11958.070995436388</v>
      </c>
      <c r="AJ3" s="7">
        <f t="shared" si="2"/>
        <v>12077.651705390752</v>
      </c>
    </row>
    <row r="4" spans="1:144" x14ac:dyDescent="0.3">
      <c r="B4" t="s">
        <v>12</v>
      </c>
      <c r="C4" s="1">
        <v>957.2</v>
      </c>
      <c r="D4" s="1">
        <v>962.3</v>
      </c>
      <c r="E4" s="1">
        <v>931.2</v>
      </c>
      <c r="F4" s="1">
        <v>927.9</v>
      </c>
      <c r="G4" s="1">
        <v>947.8</v>
      </c>
      <c r="H4" s="1">
        <v>942</v>
      </c>
      <c r="I4" s="1">
        <v>915.5</v>
      </c>
      <c r="J4" s="1">
        <v>922.3</v>
      </c>
      <c r="K4" s="1">
        <v>922.4</v>
      </c>
      <c r="L4" s="1">
        <v>938.5</v>
      </c>
      <c r="M4" s="1">
        <v>946.9</v>
      </c>
      <c r="N4" s="1">
        <v>952.3</v>
      </c>
      <c r="O4" s="1">
        <f>O3-O5</f>
        <v>922.33822000000009</v>
      </c>
      <c r="P4" s="1">
        <f t="shared" ref="P4:R4" si="3">P3-P5</f>
        <v>978.96967999999993</v>
      </c>
      <c r="Q4" s="1">
        <f t="shared" si="3"/>
        <v>964.67327999999998</v>
      </c>
      <c r="R4" s="1">
        <f t="shared" si="3"/>
        <v>984.52755999999999</v>
      </c>
      <c r="T4" s="1">
        <v>2073.8000000000002</v>
      </c>
      <c r="U4" s="1">
        <v>3650.7</v>
      </c>
      <c r="V4" s="1">
        <v>3773.7</v>
      </c>
      <c r="W4" s="1">
        <f>SUM(C4:F4)</f>
        <v>3778.6</v>
      </c>
      <c r="X4" s="1">
        <f>SUM(G4:J4)</f>
        <v>3727.6000000000004</v>
      </c>
      <c r="Y4" s="1">
        <f>SUM(K4:N4)</f>
        <v>3760.1000000000004</v>
      </c>
      <c r="Z4" s="1">
        <f>SUM(O4:R4)</f>
        <v>3850.5087399999998</v>
      </c>
      <c r="AA4" s="1">
        <f t="shared" ref="AA4:AJ4" si="4">AA3-AA5</f>
        <v>3752.5093900000002</v>
      </c>
      <c r="AB4" s="1">
        <f t="shared" si="4"/>
        <v>3827.5595777999997</v>
      </c>
      <c r="AC4" s="1">
        <f t="shared" si="4"/>
        <v>3904.1107693559998</v>
      </c>
      <c r="AD4" s="1">
        <f t="shared" si="4"/>
        <v>3982.1929847431202</v>
      </c>
      <c r="AE4" s="1">
        <f t="shared" si="4"/>
        <v>4022.0149145905516</v>
      </c>
      <c r="AF4" s="1">
        <f t="shared" si="4"/>
        <v>4062.2350637364571</v>
      </c>
      <c r="AG4" s="1">
        <f t="shared" si="4"/>
        <v>4102.8574143738215</v>
      </c>
      <c r="AH4" s="1">
        <f t="shared" si="4"/>
        <v>4143.8859885175598</v>
      </c>
      <c r="AI4" s="1">
        <f t="shared" si="4"/>
        <v>4185.3248484027354</v>
      </c>
      <c r="AJ4" s="1">
        <f t="shared" si="4"/>
        <v>4227.1780968867633</v>
      </c>
    </row>
    <row r="5" spans="1:144" s="6" customFormat="1" x14ac:dyDescent="0.3">
      <c r="A5"/>
      <c r="B5" s="6" t="s">
        <v>33</v>
      </c>
      <c r="C5" s="7">
        <f t="shared" ref="C5:N5" si="5">C3-C4</f>
        <v>1199.1000000000001</v>
      </c>
      <c r="D5" s="7">
        <f t="shared" si="5"/>
        <v>1318.6000000000001</v>
      </c>
      <c r="E5" s="7">
        <f t="shared" si="5"/>
        <v>1354.2</v>
      </c>
      <c r="F5" s="7">
        <f t="shared" si="5"/>
        <v>1325.1</v>
      </c>
      <c r="G5" s="7">
        <f t="shared" si="5"/>
        <v>1344.6000000000001</v>
      </c>
      <c r="H5" s="7">
        <f t="shared" si="5"/>
        <v>1510.5</v>
      </c>
      <c r="I5" s="7">
        <f t="shared" si="5"/>
        <v>1560.1999999999998</v>
      </c>
      <c r="J5" s="7">
        <f t="shared" si="5"/>
        <v>1511.5000000000002</v>
      </c>
      <c r="K5" s="7">
        <f t="shared" si="5"/>
        <v>1497.7999999999997</v>
      </c>
      <c r="L5" s="7">
        <f t="shared" si="5"/>
        <v>1630.3000000000002</v>
      </c>
      <c r="M5" s="7">
        <f t="shared" si="5"/>
        <v>1654.6999999999998</v>
      </c>
      <c r="N5" s="7">
        <f t="shared" si="5"/>
        <v>1563.1000000000001</v>
      </c>
      <c r="O5" s="7">
        <f>O3*0.63</f>
        <v>1570.4677799999999</v>
      </c>
      <c r="P5" s="7">
        <f>P3*0.63</f>
        <v>1666.8943200000001</v>
      </c>
      <c r="Q5" s="7">
        <f>Q3*0.64</f>
        <v>1714.9747200000002</v>
      </c>
      <c r="R5" s="7">
        <f t="shared" ref="R5" si="6">R3*0.62</f>
        <v>1606.3344400000001</v>
      </c>
      <c r="T5" s="7">
        <f t="shared" ref="T5:Y5" si="7">T3-T4</f>
        <v>2838.0999999999995</v>
      </c>
      <c r="U5" s="7">
        <f t="shared" si="7"/>
        <v>3772.9000000000005</v>
      </c>
      <c r="V5" s="7">
        <f t="shared" si="7"/>
        <v>4750.0999999999995</v>
      </c>
      <c r="W5" s="7">
        <f t="shared" si="7"/>
        <v>5197</v>
      </c>
      <c r="X5" s="7">
        <f t="shared" si="7"/>
        <v>5926.7999999999993</v>
      </c>
      <c r="Y5" s="7">
        <f t="shared" si="7"/>
        <v>6345.9</v>
      </c>
      <c r="Z5" s="7">
        <f>Z3*0.64</f>
        <v>6661.8752000000004</v>
      </c>
      <c r="AA5" s="7">
        <f>AA3*0.65</f>
        <v>6968.9460100000006</v>
      </c>
      <c r="AB5" s="7">
        <f t="shared" ref="AB5:AJ5" si="8">AB3*0.65</f>
        <v>7108.3249302000013</v>
      </c>
      <c r="AC5" s="7">
        <f t="shared" si="8"/>
        <v>7250.4914288040009</v>
      </c>
      <c r="AD5" s="7">
        <f t="shared" si="8"/>
        <v>7395.5012573800814</v>
      </c>
      <c r="AE5" s="7">
        <f t="shared" si="8"/>
        <v>7469.4562699538828</v>
      </c>
      <c r="AF5" s="7">
        <f t="shared" si="8"/>
        <v>7544.1508326534213</v>
      </c>
      <c r="AG5" s="7">
        <f t="shared" si="8"/>
        <v>7619.5923409799552</v>
      </c>
      <c r="AH5" s="7">
        <f t="shared" si="8"/>
        <v>7695.7882643897547</v>
      </c>
      <c r="AI5" s="7">
        <f t="shared" si="8"/>
        <v>7772.746147033653</v>
      </c>
      <c r="AJ5" s="7">
        <f t="shared" si="8"/>
        <v>7850.4736085039885</v>
      </c>
    </row>
    <row r="6" spans="1:144" x14ac:dyDescent="0.3">
      <c r="B6" t="s">
        <v>13</v>
      </c>
      <c r="C6" s="1">
        <v>823.1</v>
      </c>
      <c r="D6" s="1">
        <v>863.2</v>
      </c>
      <c r="E6" s="1">
        <v>918.8</v>
      </c>
      <c r="F6" s="1">
        <v>919.5</v>
      </c>
      <c r="G6" s="1">
        <v>1043.0999999999999</v>
      </c>
      <c r="H6" s="1">
        <v>1013.5</v>
      </c>
      <c r="I6" s="1">
        <v>1002</v>
      </c>
      <c r="J6" s="1">
        <v>1015.2</v>
      </c>
      <c r="K6" s="1">
        <v>1045.5</v>
      </c>
      <c r="L6" s="1">
        <v>1057.7</v>
      </c>
      <c r="M6" s="1">
        <v>1179</v>
      </c>
      <c r="N6" s="1">
        <v>1003.1</v>
      </c>
      <c r="O6" s="1">
        <f>O3*0.43</f>
        <v>1071.9065800000001</v>
      </c>
      <c r="P6" s="1">
        <f>P3*0.42</f>
        <v>1111.26288</v>
      </c>
      <c r="Q6" s="1">
        <f>Q3*0.42</f>
        <v>1125.45216</v>
      </c>
      <c r="R6" s="1">
        <f>R3*0.39</f>
        <v>1010.43618</v>
      </c>
      <c r="T6" s="1">
        <v>2046.7</v>
      </c>
      <c r="U6" s="1">
        <v>2878.9</v>
      </c>
      <c r="V6" s="1">
        <v>3391.2</v>
      </c>
      <c r="W6" s="1">
        <f>SUM(C6:F6)</f>
        <v>3524.6000000000004</v>
      </c>
      <c r="X6" s="1">
        <f>SUM(G6:J6)</f>
        <v>4073.8</v>
      </c>
      <c r="Y6" s="1">
        <f>SUM(K6:N6)</f>
        <v>4285.3</v>
      </c>
      <c r="Z6" s="1">
        <f>SUM(O6:R6)</f>
        <v>4319.0577999999996</v>
      </c>
      <c r="AA6" s="1">
        <f>AA3*0.4</f>
        <v>4288.5821600000008</v>
      </c>
      <c r="AB6" s="1">
        <f>AB3*0.39</f>
        <v>4264.9949581200008</v>
      </c>
      <c r="AC6" s="1">
        <f t="shared" ref="AC6:AJ6" si="9">AC3*0.39</f>
        <v>4350.2948572824007</v>
      </c>
      <c r="AD6" s="1">
        <f t="shared" si="9"/>
        <v>4437.300754428049</v>
      </c>
      <c r="AE6" s="1">
        <f t="shared" si="9"/>
        <v>4481.6737619723299</v>
      </c>
      <c r="AF6" s="1">
        <f t="shared" si="9"/>
        <v>4526.4904995920524</v>
      </c>
      <c r="AG6" s="1">
        <f t="shared" si="9"/>
        <v>4571.7554045879733</v>
      </c>
      <c r="AH6" s="1">
        <f t="shared" si="9"/>
        <v>4617.4729586338526</v>
      </c>
      <c r="AI6" s="1">
        <f t="shared" si="9"/>
        <v>4663.6476882201914</v>
      </c>
      <c r="AJ6" s="1">
        <f t="shared" si="9"/>
        <v>4710.2841651023937</v>
      </c>
    </row>
    <row r="7" spans="1:144" s="6" customFormat="1" x14ac:dyDescent="0.3">
      <c r="A7"/>
      <c r="B7" s="6" t="s">
        <v>14</v>
      </c>
      <c r="C7" s="7">
        <f t="shared" ref="C7:K7" si="10">C5-C6</f>
        <v>376.00000000000011</v>
      </c>
      <c r="D7" s="7">
        <f t="shared" si="10"/>
        <v>455.40000000000009</v>
      </c>
      <c r="E7" s="7">
        <f t="shared" si="10"/>
        <v>435.40000000000009</v>
      </c>
      <c r="F7" s="7">
        <f t="shared" si="10"/>
        <v>405.59999999999991</v>
      </c>
      <c r="G7" s="7">
        <f t="shared" si="10"/>
        <v>301.50000000000023</v>
      </c>
      <c r="H7" s="7">
        <f t="shared" si="10"/>
        <v>497</v>
      </c>
      <c r="I7" s="7">
        <f t="shared" si="10"/>
        <v>558.19999999999982</v>
      </c>
      <c r="J7" s="7">
        <f t="shared" si="10"/>
        <v>496.30000000000018</v>
      </c>
      <c r="K7" s="7">
        <f t="shared" si="10"/>
        <v>452.29999999999973</v>
      </c>
      <c r="L7" s="7">
        <f t="shared" ref="L7:R7" si="11">L5-L6</f>
        <v>572.60000000000014</v>
      </c>
      <c r="M7" s="7">
        <f t="shared" si="11"/>
        <v>475.69999999999982</v>
      </c>
      <c r="N7" s="7">
        <f t="shared" si="11"/>
        <v>560.00000000000011</v>
      </c>
      <c r="O7" s="7">
        <f t="shared" si="11"/>
        <v>498.56119999999987</v>
      </c>
      <c r="P7" s="7">
        <f t="shared" si="11"/>
        <v>555.63144000000011</v>
      </c>
      <c r="Q7" s="7">
        <f t="shared" si="11"/>
        <v>589.52256000000011</v>
      </c>
      <c r="R7" s="7">
        <f t="shared" si="11"/>
        <v>595.89826000000005</v>
      </c>
      <c r="T7" s="7">
        <f t="shared" ref="T7:Y7" si="12">T5-T6</f>
        <v>791.39999999999941</v>
      </c>
      <c r="U7" s="7">
        <f t="shared" si="12"/>
        <v>894.00000000000045</v>
      </c>
      <c r="V7" s="7">
        <f t="shared" si="12"/>
        <v>1358.8999999999996</v>
      </c>
      <c r="W7" s="7">
        <f t="shared" si="12"/>
        <v>1672.3999999999996</v>
      </c>
      <c r="X7" s="7">
        <f t="shared" si="12"/>
        <v>1852.9999999999991</v>
      </c>
      <c r="Y7" s="7">
        <f t="shared" si="12"/>
        <v>2060.5999999999995</v>
      </c>
      <c r="Z7" s="7">
        <f t="shared" ref="Z7:AJ7" si="13">Z5-Z6</f>
        <v>2342.8174000000008</v>
      </c>
      <c r="AA7" s="7">
        <f t="shared" si="13"/>
        <v>2680.3638499999997</v>
      </c>
      <c r="AB7" s="7">
        <f t="shared" si="13"/>
        <v>2843.3299720800005</v>
      </c>
      <c r="AC7" s="7">
        <f t="shared" si="13"/>
        <v>2900.1965715216002</v>
      </c>
      <c r="AD7" s="7">
        <f t="shared" si="13"/>
        <v>2958.2005029520324</v>
      </c>
      <c r="AE7" s="7">
        <f t="shared" si="13"/>
        <v>2987.782507981553</v>
      </c>
      <c r="AF7" s="7">
        <f t="shared" si="13"/>
        <v>3017.6603330613689</v>
      </c>
      <c r="AG7" s="7">
        <f t="shared" si="13"/>
        <v>3047.8369363919819</v>
      </c>
      <c r="AH7" s="7">
        <f t="shared" si="13"/>
        <v>3078.315305755902</v>
      </c>
      <c r="AI7" s="7">
        <f t="shared" si="13"/>
        <v>3109.0984588134615</v>
      </c>
      <c r="AJ7" s="7">
        <f t="shared" si="13"/>
        <v>3140.1894434015949</v>
      </c>
    </row>
    <row r="8" spans="1:144" x14ac:dyDescent="0.3">
      <c r="B8" t="s">
        <v>35</v>
      </c>
      <c r="C8" s="1">
        <v>0</v>
      </c>
      <c r="D8" s="1">
        <f>833.1+152.2</f>
        <v>985.3</v>
      </c>
      <c r="E8" s="1">
        <v>48.9</v>
      </c>
      <c r="F8" s="1">
        <v>-2.1</v>
      </c>
      <c r="G8" s="1">
        <v>244.8</v>
      </c>
      <c r="H8" s="1">
        <v>-105.7</v>
      </c>
      <c r="I8" s="1">
        <v>0</v>
      </c>
      <c r="J8" s="1">
        <v>-2.4</v>
      </c>
      <c r="K8" s="1">
        <v>0</v>
      </c>
      <c r="L8" s="1">
        <v>0</v>
      </c>
      <c r="M8" s="1">
        <v>0</v>
      </c>
      <c r="N8" s="1">
        <v>-273.10000000000002</v>
      </c>
      <c r="O8" s="1">
        <v>0</v>
      </c>
      <c r="P8" s="1">
        <v>0</v>
      </c>
      <c r="Q8" s="1">
        <v>0</v>
      </c>
      <c r="R8" s="1">
        <v>0</v>
      </c>
      <c r="T8" s="1">
        <v>0</v>
      </c>
      <c r="U8" s="1">
        <v>0</v>
      </c>
      <c r="V8" s="1">
        <v>0</v>
      </c>
      <c r="W8" s="1">
        <f>SUM(C8:F8)</f>
        <v>1032.1000000000001</v>
      </c>
      <c r="X8" s="1">
        <f>SUM(G8:J8)</f>
        <v>136.70000000000002</v>
      </c>
      <c r="Y8" s="1">
        <f>SUM(K8:N8)</f>
        <v>-273.10000000000002</v>
      </c>
      <c r="Z8" s="1">
        <f>SUM(O8:R8)</f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</row>
    <row r="9" spans="1:144" x14ac:dyDescent="0.3">
      <c r="B9" t="s">
        <v>15</v>
      </c>
      <c r="C9" s="1">
        <v>-1.7</v>
      </c>
      <c r="D9" s="1">
        <v>-3</v>
      </c>
      <c r="E9" s="1">
        <v>-20.399999999999999</v>
      </c>
      <c r="F9" s="1">
        <v>-8.5</v>
      </c>
      <c r="G9" s="1">
        <v>-11.2</v>
      </c>
      <c r="H9" s="1">
        <v>-27.9</v>
      </c>
      <c r="I9" s="1">
        <v>-35.700000000000003</v>
      </c>
      <c r="J9" s="1">
        <v>-38.9</v>
      </c>
      <c r="K9" s="1">
        <v>-35.9</v>
      </c>
      <c r="L9" s="1">
        <v>-35.299999999999997</v>
      </c>
      <c r="M9" s="1">
        <v>-55.3</v>
      </c>
      <c r="N9" s="1">
        <v>-42.6</v>
      </c>
      <c r="O9" s="1">
        <f>K9*1.01</f>
        <v>-36.259</v>
      </c>
      <c r="P9" s="1">
        <f t="shared" ref="P9:R9" si="14">L9*1.01</f>
        <v>-35.652999999999999</v>
      </c>
      <c r="Q9" s="1">
        <f t="shared" si="14"/>
        <v>-55.852999999999994</v>
      </c>
      <c r="R9" s="1">
        <f t="shared" si="14"/>
        <v>-43.026000000000003</v>
      </c>
      <c r="T9" s="1">
        <v>-31.4</v>
      </c>
      <c r="U9" s="1">
        <v>-43.6</v>
      </c>
      <c r="V9" s="1">
        <v>-19.3</v>
      </c>
      <c r="W9" s="1">
        <f>SUM(C9:F9)</f>
        <v>-33.599999999999994</v>
      </c>
      <c r="X9" s="1">
        <f>SUM(G9:J9)</f>
        <v>-113.69999999999999</v>
      </c>
      <c r="Y9" s="1">
        <f>SUM(K9:N9)</f>
        <v>-169.1</v>
      </c>
      <c r="Z9" s="1">
        <f>SUM(O9:R9)</f>
        <v>-170.791</v>
      </c>
      <c r="AA9" s="1">
        <f>Z9*1.03</f>
        <v>-175.91472999999999</v>
      </c>
      <c r="AB9" s="1">
        <f t="shared" ref="AB9:AJ9" si="15">AA9*1.03</f>
        <v>-181.19217190000001</v>
      </c>
      <c r="AC9" s="1">
        <f t="shared" si="15"/>
        <v>-186.627937057</v>
      </c>
      <c r="AD9" s="1">
        <f t="shared" si="15"/>
        <v>-192.22677516870999</v>
      </c>
      <c r="AE9" s="1">
        <f t="shared" si="15"/>
        <v>-197.99357842377128</v>
      </c>
      <c r="AF9" s="1">
        <f t="shared" si="15"/>
        <v>-203.93338577648441</v>
      </c>
      <c r="AG9" s="1">
        <f t="shared" si="15"/>
        <v>-210.05138734977896</v>
      </c>
      <c r="AH9" s="1">
        <f t="shared" si="15"/>
        <v>-216.35292897027233</v>
      </c>
      <c r="AI9" s="1">
        <f t="shared" si="15"/>
        <v>-222.8435168393805</v>
      </c>
      <c r="AJ9" s="1">
        <f t="shared" si="15"/>
        <v>-229.52882234456192</v>
      </c>
    </row>
    <row r="10" spans="1:144" x14ac:dyDescent="0.3">
      <c r="B10" t="s">
        <v>16</v>
      </c>
      <c r="C10" s="1">
        <v>93.3</v>
      </c>
      <c r="D10" s="1">
        <v>99.2</v>
      </c>
      <c r="E10" s="1">
        <v>135.19999999999999</v>
      </c>
      <c r="F10" s="1">
        <v>121.8</v>
      </c>
      <c r="G10" s="1">
        <v>122.9</v>
      </c>
      <c r="H10" s="1">
        <v>191.4</v>
      </c>
      <c r="I10" s="1">
        <v>176.1</v>
      </c>
      <c r="J10" s="1">
        <v>169.7</v>
      </c>
      <c r="K10" s="1">
        <v>162.1</v>
      </c>
      <c r="L10" s="1">
        <v>159.19999999999999</v>
      </c>
      <c r="M10" s="1">
        <v>155.9</v>
      </c>
      <c r="N10" s="1">
        <v>156.80000000000001</v>
      </c>
      <c r="O10" s="1">
        <f>K10*0.99</f>
        <v>160.47899999999998</v>
      </c>
      <c r="P10" s="1">
        <f t="shared" ref="P10:R10" si="16">L10*0.99</f>
        <v>157.60799999999998</v>
      </c>
      <c r="Q10" s="1">
        <f t="shared" si="16"/>
        <v>154.34100000000001</v>
      </c>
      <c r="R10" s="1">
        <f t="shared" si="16"/>
        <v>155.232</v>
      </c>
      <c r="T10" s="1">
        <v>304.89999999999998</v>
      </c>
      <c r="U10" s="1">
        <v>343.5</v>
      </c>
      <c r="V10" s="1">
        <v>333.7</v>
      </c>
      <c r="W10" s="1">
        <f>SUM(C10:F10)</f>
        <v>449.5</v>
      </c>
      <c r="X10" s="1">
        <f>SUM(G10:J10)</f>
        <v>660.09999999999991</v>
      </c>
      <c r="Y10" s="1">
        <f>SUM(K10:N10)</f>
        <v>634</v>
      </c>
      <c r="Z10" s="1">
        <f>SUM(O10:R10)</f>
        <v>627.66</v>
      </c>
      <c r="AA10" s="1">
        <f t="shared" ref="AA10:AJ10" si="17">Z10*0.99</f>
        <v>621.38339999999994</v>
      </c>
      <c r="AB10" s="1">
        <f t="shared" si="17"/>
        <v>615.16956599999992</v>
      </c>
      <c r="AC10" s="1">
        <f t="shared" si="17"/>
        <v>609.01787033999994</v>
      </c>
      <c r="AD10" s="1">
        <f t="shared" si="17"/>
        <v>602.92769163659989</v>
      </c>
      <c r="AE10" s="1">
        <f t="shared" si="17"/>
        <v>596.89841472023386</v>
      </c>
      <c r="AF10" s="1">
        <f t="shared" si="17"/>
        <v>590.92943057303148</v>
      </c>
      <c r="AG10" s="1">
        <f t="shared" si="17"/>
        <v>585.02013626730115</v>
      </c>
      <c r="AH10" s="1">
        <f t="shared" si="17"/>
        <v>579.16993490462812</v>
      </c>
      <c r="AI10" s="1">
        <f t="shared" si="17"/>
        <v>573.3782355555818</v>
      </c>
      <c r="AJ10" s="1">
        <f t="shared" si="17"/>
        <v>567.64445320002596</v>
      </c>
    </row>
    <row r="11" spans="1:144" s="6" customFormat="1" x14ac:dyDescent="0.3">
      <c r="A11"/>
      <c r="B11" s="6" t="s">
        <v>17</v>
      </c>
      <c r="C11" s="7">
        <f t="shared" ref="C11:K11" si="18">C7-C8-C9-C10</f>
        <v>284.40000000000009</v>
      </c>
      <c r="D11" s="7">
        <f t="shared" si="18"/>
        <v>-626.09999999999991</v>
      </c>
      <c r="E11" s="7">
        <f t="shared" si="18"/>
        <v>271.7000000000001</v>
      </c>
      <c r="F11" s="7">
        <f t="shared" si="18"/>
        <v>294.39999999999992</v>
      </c>
      <c r="G11" s="7">
        <f t="shared" si="18"/>
        <v>-54.999999999999787</v>
      </c>
      <c r="H11" s="7">
        <f t="shared" si="18"/>
        <v>439.20000000000005</v>
      </c>
      <c r="I11" s="7">
        <f t="shared" si="18"/>
        <v>417.79999999999984</v>
      </c>
      <c r="J11" s="7">
        <f t="shared" si="18"/>
        <v>367.90000000000015</v>
      </c>
      <c r="K11" s="7">
        <f t="shared" si="18"/>
        <v>326.09999999999968</v>
      </c>
      <c r="L11" s="7">
        <f t="shared" ref="L11:R11" si="19">L7-L8-L9-L10</f>
        <v>448.7000000000001</v>
      </c>
      <c r="M11" s="7">
        <f t="shared" si="19"/>
        <v>375.0999999999998</v>
      </c>
      <c r="N11" s="7">
        <f t="shared" si="19"/>
        <v>718.90000000000009</v>
      </c>
      <c r="O11" s="7">
        <f t="shared" si="19"/>
        <v>374.3411999999999</v>
      </c>
      <c r="P11" s="7">
        <f t="shared" si="19"/>
        <v>433.67644000000018</v>
      </c>
      <c r="Q11" s="7">
        <f t="shared" si="19"/>
        <v>491.03456000000006</v>
      </c>
      <c r="R11" s="7">
        <f t="shared" si="19"/>
        <v>483.69226000000003</v>
      </c>
      <c r="T11" s="7">
        <f t="shared" ref="T11:Z11" si="20">T7-T8-T9-T10</f>
        <v>517.89999999999941</v>
      </c>
      <c r="U11" s="7">
        <f t="shared" si="20"/>
        <v>594.10000000000048</v>
      </c>
      <c r="V11" s="7">
        <f t="shared" si="20"/>
        <v>1044.4999999999995</v>
      </c>
      <c r="W11" s="7">
        <f t="shared" si="20"/>
        <v>224.39999999999952</v>
      </c>
      <c r="X11" s="7">
        <f t="shared" si="20"/>
        <v>1169.8999999999992</v>
      </c>
      <c r="Y11" s="7">
        <f t="shared" si="20"/>
        <v>1868.7999999999993</v>
      </c>
      <c r="Z11" s="7">
        <f t="shared" si="20"/>
        <v>1885.9484000000011</v>
      </c>
      <c r="AA11" s="7">
        <f t="shared" ref="AA11:AJ11" si="21">AA7-AA8-AA9-AA10</f>
        <v>2234.8951799999995</v>
      </c>
      <c r="AB11" s="7">
        <f t="shared" si="21"/>
        <v>2409.3525779800007</v>
      </c>
      <c r="AC11" s="7">
        <f t="shared" si="21"/>
        <v>2477.8066382386005</v>
      </c>
      <c r="AD11" s="7">
        <f t="shared" si="21"/>
        <v>2547.4995864841426</v>
      </c>
      <c r="AE11" s="7">
        <f t="shared" si="21"/>
        <v>2588.8776716850907</v>
      </c>
      <c r="AF11" s="7">
        <f t="shared" si="21"/>
        <v>2630.6642882648221</v>
      </c>
      <c r="AG11" s="7">
        <f t="shared" si="21"/>
        <v>2672.8681874744598</v>
      </c>
      <c r="AH11" s="7">
        <f t="shared" si="21"/>
        <v>2715.4982998215464</v>
      </c>
      <c r="AI11" s="7">
        <f t="shared" si="21"/>
        <v>2758.5637400972601</v>
      </c>
      <c r="AJ11" s="7">
        <f t="shared" si="21"/>
        <v>2802.0738125461307</v>
      </c>
    </row>
    <row r="12" spans="1:144" x14ac:dyDescent="0.3">
      <c r="B12" t="s">
        <v>18</v>
      </c>
      <c r="C12" s="1">
        <v>52.2</v>
      </c>
      <c r="D12" s="1">
        <v>52.8</v>
      </c>
      <c r="E12" s="1">
        <v>14.3</v>
      </c>
      <c r="F12" s="1">
        <v>47.4</v>
      </c>
      <c r="G12" s="1">
        <v>-31.4</v>
      </c>
      <c r="H12" s="1">
        <v>172.2</v>
      </c>
      <c r="I12" s="1">
        <v>58.9</v>
      </c>
      <c r="J12" s="1">
        <v>9.3000000000000007</v>
      </c>
      <c r="K12" s="1">
        <v>19.399999999999999</v>
      </c>
      <c r="L12" s="1">
        <v>77.8</v>
      </c>
      <c r="M12" s="1">
        <v>57.4</v>
      </c>
      <c r="N12" s="1">
        <v>140.5</v>
      </c>
      <c r="O12" s="1">
        <f>O11*0.16</f>
        <v>59.894591999999989</v>
      </c>
      <c r="P12" s="1">
        <f t="shared" ref="P12:R12" si="22">P11*0.16</f>
        <v>69.388230400000026</v>
      </c>
      <c r="Q12" s="1">
        <f t="shared" si="22"/>
        <v>78.565529600000005</v>
      </c>
      <c r="R12" s="1">
        <f t="shared" si="22"/>
        <v>77.390761600000005</v>
      </c>
      <c r="T12" s="1">
        <v>62.2</v>
      </c>
      <c r="U12" s="1">
        <v>77.2</v>
      </c>
      <c r="V12" s="1">
        <v>169</v>
      </c>
      <c r="W12" s="1">
        <f>SUM(C12:F12)</f>
        <v>166.7</v>
      </c>
      <c r="X12" s="1">
        <f>SUM(G12:J12)</f>
        <v>209</v>
      </c>
      <c r="Y12" s="1">
        <f>SUM(K12:N12)</f>
        <v>295.10000000000002</v>
      </c>
      <c r="Z12" s="1">
        <f>SUM(O12:R12)</f>
        <v>285.23911360000005</v>
      </c>
      <c r="AA12" s="1">
        <f t="shared" ref="AA12:AJ12" si="23">AA11*0.17</f>
        <v>379.93218059999992</v>
      </c>
      <c r="AB12" s="1">
        <f t="shared" si="23"/>
        <v>409.58993825660013</v>
      </c>
      <c r="AC12" s="1">
        <f t="shared" si="23"/>
        <v>421.22712850056212</v>
      </c>
      <c r="AD12" s="1">
        <f t="shared" si="23"/>
        <v>433.07492970230425</v>
      </c>
      <c r="AE12" s="1">
        <f t="shared" si="23"/>
        <v>440.10920418646543</v>
      </c>
      <c r="AF12" s="1">
        <f t="shared" si="23"/>
        <v>447.21292900501976</v>
      </c>
      <c r="AG12" s="1">
        <f t="shared" si="23"/>
        <v>454.38759187065818</v>
      </c>
      <c r="AH12" s="1">
        <f t="shared" si="23"/>
        <v>461.63471096966293</v>
      </c>
      <c r="AI12" s="1">
        <f t="shared" si="23"/>
        <v>468.95583581653426</v>
      </c>
      <c r="AJ12" s="1">
        <f t="shared" si="23"/>
        <v>476.35254813284229</v>
      </c>
    </row>
    <row r="13" spans="1:144" x14ac:dyDescent="0.3">
      <c r="B13" t="s">
        <v>34</v>
      </c>
      <c r="C13" s="1">
        <v>-17.5</v>
      </c>
      <c r="D13" s="1">
        <v>-13.8</v>
      </c>
      <c r="E13" s="1">
        <v>-42.8</v>
      </c>
      <c r="F13" s="1">
        <v>-11.6</v>
      </c>
      <c r="G13" s="1">
        <v>-19.2</v>
      </c>
      <c r="H13" s="1">
        <v>-17.2</v>
      </c>
      <c r="I13" s="1">
        <v>-17.7</v>
      </c>
      <c r="J13" s="1">
        <v>-13.8</v>
      </c>
      <c r="K13" s="1">
        <v>-16.399999999999999</v>
      </c>
      <c r="L13" s="1">
        <v>-18.3</v>
      </c>
      <c r="M13" s="1">
        <v>-15.9</v>
      </c>
      <c r="N13" s="1">
        <v>-19.899999999999999</v>
      </c>
      <c r="O13" s="1">
        <f>-O11*0.04</f>
        <v>-14.973647999999997</v>
      </c>
      <c r="P13" s="1">
        <f t="shared" ref="P13:R13" si="24">-P11*0.04</f>
        <v>-17.347057600000007</v>
      </c>
      <c r="Q13" s="1">
        <f t="shared" si="24"/>
        <v>-19.641382400000001</v>
      </c>
      <c r="R13" s="1">
        <f t="shared" si="24"/>
        <v>-19.347690400000001</v>
      </c>
      <c r="T13" s="1">
        <v>-13.5</v>
      </c>
      <c r="U13" s="1">
        <v>-88.3</v>
      </c>
      <c r="V13" s="1">
        <v>-112.4</v>
      </c>
      <c r="W13" s="1">
        <f>SUM(C13:F13)</f>
        <v>-85.699999999999989</v>
      </c>
      <c r="X13" s="1">
        <f>SUM(G13:J13)</f>
        <v>-67.899999999999991</v>
      </c>
      <c r="Y13" s="1">
        <f>SUM(K13:N13)</f>
        <v>-70.5</v>
      </c>
      <c r="Z13" s="1">
        <f>SUM(O13:R13)</f>
        <v>-71.309778400000013</v>
      </c>
      <c r="AA13" s="1">
        <f>Z13*1.02</f>
        <v>-72.73597396800001</v>
      </c>
      <c r="AB13" s="1">
        <f t="shared" ref="AB13:AJ13" si="25">AA13*1.02</f>
        <v>-74.190693447360019</v>
      </c>
      <c r="AC13" s="1">
        <f t="shared" si="25"/>
        <v>-75.674507316307214</v>
      </c>
      <c r="AD13" s="1">
        <f t="shared" si="25"/>
        <v>-77.187997462633362</v>
      </c>
      <c r="AE13" s="1">
        <f t="shared" si="25"/>
        <v>-78.731757411886036</v>
      </c>
      <c r="AF13" s="1">
        <f t="shared" si="25"/>
        <v>-80.306392560123754</v>
      </c>
      <c r="AG13" s="1">
        <f t="shared" si="25"/>
        <v>-81.912520411326227</v>
      </c>
      <c r="AH13" s="1">
        <f t="shared" si="25"/>
        <v>-83.550770819552753</v>
      </c>
      <c r="AI13" s="1">
        <f t="shared" si="25"/>
        <v>-85.22178623594381</v>
      </c>
      <c r="AJ13" s="1">
        <f t="shared" si="25"/>
        <v>-86.926221960662687</v>
      </c>
    </row>
    <row r="14" spans="1:144" x14ac:dyDescent="0.3">
      <c r="B14" t="s">
        <v>21</v>
      </c>
      <c r="C14" s="1">
        <v>4.9000000000000004</v>
      </c>
      <c r="D14" s="1">
        <v>7.9</v>
      </c>
      <c r="E14" s="1">
        <v>9.6999999999999993</v>
      </c>
      <c r="F14" s="1">
        <v>9.3000000000000007</v>
      </c>
      <c r="G14" s="1">
        <v>6.6</v>
      </c>
      <c r="H14" s="1">
        <v>10.1</v>
      </c>
      <c r="I14" s="1">
        <v>14.8</v>
      </c>
      <c r="J14" s="1">
        <v>11.1</v>
      </c>
      <c r="K14" s="1">
        <v>9.8000000000000007</v>
      </c>
      <c r="L14" s="1">
        <v>14.5</v>
      </c>
      <c r="M14" s="1">
        <v>18.399999999999999</v>
      </c>
      <c r="N14" s="1">
        <v>31.1</v>
      </c>
      <c r="O14" s="1">
        <f>O11*0.045</f>
        <v>16.845353999999993</v>
      </c>
      <c r="P14" s="1">
        <f t="shared" ref="P14:R14" si="26">P11*0.045</f>
        <v>19.515439800000006</v>
      </c>
      <c r="Q14" s="1">
        <f t="shared" si="26"/>
        <v>22.096555200000001</v>
      </c>
      <c r="R14" s="1">
        <f t="shared" si="26"/>
        <v>21.766151700000002</v>
      </c>
      <c r="T14" s="1">
        <v>38.700000000000003</v>
      </c>
      <c r="U14" s="1">
        <v>20.6</v>
      </c>
      <c r="V14" s="1">
        <v>22.4</v>
      </c>
      <c r="W14" s="1">
        <f>SUM(C14:F14)</f>
        <v>31.8</v>
      </c>
      <c r="X14" s="1">
        <f>SUM(G14:J14)</f>
        <v>42.6</v>
      </c>
      <c r="Y14" s="1">
        <f>SUM(K14:N14)</f>
        <v>73.800000000000011</v>
      </c>
      <c r="Z14" s="1">
        <f>SUM(O14:R14)</f>
        <v>80.223500699999988</v>
      </c>
      <c r="AA14" s="1">
        <f t="shared" ref="AA14:AJ14" si="27">Z14*1.005</f>
        <v>80.624618203499978</v>
      </c>
      <c r="AB14" s="1">
        <f t="shared" si="27"/>
        <v>81.027741294517469</v>
      </c>
      <c r="AC14" s="1">
        <f t="shared" si="27"/>
        <v>81.432880000990053</v>
      </c>
      <c r="AD14" s="1">
        <f t="shared" si="27"/>
        <v>81.840044400994998</v>
      </c>
      <c r="AE14" s="1">
        <f t="shared" si="27"/>
        <v>82.249244622999967</v>
      </c>
      <c r="AF14" s="1">
        <f t="shared" si="27"/>
        <v>82.660490846114953</v>
      </c>
      <c r="AG14" s="1">
        <f t="shared" si="27"/>
        <v>83.073793300345514</v>
      </c>
      <c r="AH14" s="1">
        <f t="shared" si="27"/>
        <v>83.489162266847231</v>
      </c>
      <c r="AI14" s="1">
        <f t="shared" si="27"/>
        <v>83.906608078181463</v>
      </c>
      <c r="AJ14" s="1">
        <f t="shared" si="27"/>
        <v>84.326141118572366</v>
      </c>
    </row>
    <row r="15" spans="1:144" s="6" customFormat="1" x14ac:dyDescent="0.3">
      <c r="A15"/>
      <c r="B15" s="6" t="s">
        <v>19</v>
      </c>
      <c r="C15" s="7">
        <f t="shared" ref="C15:K15" si="28">C11-C12-C13-C14</f>
        <v>244.8000000000001</v>
      </c>
      <c r="D15" s="7">
        <f t="shared" si="28"/>
        <v>-672.99999999999989</v>
      </c>
      <c r="E15" s="7">
        <f t="shared" si="28"/>
        <v>290.50000000000011</v>
      </c>
      <c r="F15" s="7">
        <f t="shared" si="28"/>
        <v>249.2999999999999</v>
      </c>
      <c r="G15" s="7">
        <f t="shared" si="28"/>
        <v>-10.999999999999789</v>
      </c>
      <c r="H15" s="7">
        <f t="shared" si="28"/>
        <v>274.10000000000002</v>
      </c>
      <c r="I15" s="7">
        <f t="shared" si="28"/>
        <v>361.79999999999984</v>
      </c>
      <c r="J15" s="7">
        <f t="shared" si="28"/>
        <v>361.30000000000013</v>
      </c>
      <c r="K15" s="7">
        <f t="shared" si="28"/>
        <v>313.29999999999967</v>
      </c>
      <c r="L15" s="7">
        <f t="shared" ref="L15:N15" si="29">L11-L12-L13-L14</f>
        <v>374.7000000000001</v>
      </c>
      <c r="M15" s="7">
        <f t="shared" si="29"/>
        <v>315.19999999999982</v>
      </c>
      <c r="N15" s="7">
        <f t="shared" si="29"/>
        <v>567.20000000000005</v>
      </c>
      <c r="O15" s="7">
        <f t="shared" ref="O15:R15" si="30">O11-O12-O13-O14</f>
        <v>312.57490199999989</v>
      </c>
      <c r="P15" s="7">
        <f t="shared" si="30"/>
        <v>362.11982740000019</v>
      </c>
      <c r="Q15" s="7">
        <f t="shared" si="30"/>
        <v>410.01385760000005</v>
      </c>
      <c r="R15" s="7">
        <f t="shared" si="30"/>
        <v>403.88303709999997</v>
      </c>
      <c r="T15" s="7">
        <f t="shared" ref="T15:Y15" si="31">T11-T12-T13-T14</f>
        <v>430.49999999999943</v>
      </c>
      <c r="U15" s="7">
        <f t="shared" si="31"/>
        <v>584.60000000000036</v>
      </c>
      <c r="V15" s="7">
        <f t="shared" si="31"/>
        <v>965.49999999999955</v>
      </c>
      <c r="W15" s="7">
        <f t="shared" si="31"/>
        <v>111.59999999999953</v>
      </c>
      <c r="X15" s="7">
        <f t="shared" si="31"/>
        <v>986.19999999999925</v>
      </c>
      <c r="Y15" s="7">
        <f t="shared" si="31"/>
        <v>1570.3999999999994</v>
      </c>
      <c r="Z15" s="7">
        <f t="shared" ref="Z15" si="32">Z11-Z12-Z13-Z14</f>
        <v>1591.795564100001</v>
      </c>
      <c r="AA15" s="7">
        <f t="shared" ref="AA15" si="33">AA11-AA12-AA13-AA14</f>
        <v>1847.0743551644998</v>
      </c>
      <c r="AB15" s="7">
        <f t="shared" ref="AB15" si="34">AB11-AB12-AB13-AB14</f>
        <v>1992.9255918762433</v>
      </c>
      <c r="AC15" s="7">
        <f t="shared" ref="AC15" si="35">AC11-AC12-AC13-AC14</f>
        <v>2050.8211370533554</v>
      </c>
      <c r="AD15" s="7">
        <f t="shared" ref="AD15" si="36">AD11-AD12-AD13-AD14</f>
        <v>2109.7726098434769</v>
      </c>
      <c r="AE15" s="7">
        <f t="shared" ref="AE15" si="37">AE11-AE12-AE13-AE14</f>
        <v>2145.2509802875115</v>
      </c>
      <c r="AF15" s="7">
        <f t="shared" ref="AF15" si="38">AF11-AF12-AF13-AF14</f>
        <v>2181.097260973811</v>
      </c>
      <c r="AG15" s="7">
        <f t="shared" ref="AG15" si="39">AG11-AG12-AG13-AG14</f>
        <v>2217.3193227147822</v>
      </c>
      <c r="AH15" s="7">
        <f t="shared" ref="AH15" si="40">AH11-AH12-AH13-AH14</f>
        <v>2253.9251974045887</v>
      </c>
      <c r="AI15" s="7">
        <f t="shared" ref="AI15" si="41">AI11-AI12-AI13-AI14</f>
        <v>2290.9230824384886</v>
      </c>
      <c r="AJ15" s="7">
        <f t="shared" ref="AJ15" si="42">AJ11-AJ12-AJ13-AJ14</f>
        <v>2328.3213452553787</v>
      </c>
      <c r="AK15" s="10">
        <f>AJ15+(AJ15*$AN$20)</f>
        <v>2305.0381318028249</v>
      </c>
      <c r="AL15" s="10">
        <f t="shared" ref="AL15:CW15" si="43">AK15+(AK15*$AN$20)</f>
        <v>2281.9877504847968</v>
      </c>
      <c r="AM15" s="10">
        <f t="shared" si="43"/>
        <v>2259.1678729799487</v>
      </c>
      <c r="AN15" s="10">
        <f t="shared" si="43"/>
        <v>2236.576194250149</v>
      </c>
      <c r="AO15" s="10">
        <f t="shared" si="43"/>
        <v>2214.2104323076474</v>
      </c>
      <c r="AP15" s="10">
        <f t="shared" si="43"/>
        <v>2192.0683279845707</v>
      </c>
      <c r="AQ15" s="10">
        <f t="shared" si="43"/>
        <v>2170.1476447047248</v>
      </c>
      <c r="AR15" s="10">
        <f t="shared" si="43"/>
        <v>2148.4461682576775</v>
      </c>
      <c r="AS15" s="10">
        <f t="shared" si="43"/>
        <v>2126.9617065751008</v>
      </c>
      <c r="AT15" s="10">
        <f t="shared" si="43"/>
        <v>2105.6920895093499</v>
      </c>
      <c r="AU15" s="10">
        <f t="shared" si="43"/>
        <v>2084.6351686142566</v>
      </c>
      <c r="AV15" s="10">
        <f t="shared" si="43"/>
        <v>2063.7888169281141</v>
      </c>
      <c r="AW15" s="10">
        <f t="shared" si="43"/>
        <v>2043.1509287588331</v>
      </c>
      <c r="AX15" s="10">
        <f t="shared" si="43"/>
        <v>2022.7194194712447</v>
      </c>
      <c r="AY15" s="10">
        <f t="shared" si="43"/>
        <v>2002.4922252765323</v>
      </c>
      <c r="AZ15" s="10">
        <f t="shared" si="43"/>
        <v>1982.467303023767</v>
      </c>
      <c r="BA15" s="10">
        <f t="shared" si="43"/>
        <v>1962.6426299935295</v>
      </c>
      <c r="BB15" s="10">
        <f t="shared" si="43"/>
        <v>1943.0162036935942</v>
      </c>
      <c r="BC15" s="10">
        <f t="shared" si="43"/>
        <v>1923.5860416566582</v>
      </c>
      <c r="BD15" s="10">
        <f t="shared" si="43"/>
        <v>1904.3501812400916</v>
      </c>
      <c r="BE15" s="10">
        <f t="shared" si="43"/>
        <v>1885.3066794276906</v>
      </c>
      <c r="BF15" s="10">
        <f t="shared" si="43"/>
        <v>1866.4536126334137</v>
      </c>
      <c r="BG15" s="10">
        <f t="shared" si="43"/>
        <v>1847.7890765070797</v>
      </c>
      <c r="BH15" s="10">
        <f t="shared" si="43"/>
        <v>1829.311185742009</v>
      </c>
      <c r="BI15" s="10">
        <f t="shared" si="43"/>
        <v>1811.0180738845888</v>
      </c>
      <c r="BJ15" s="10">
        <f t="shared" si="43"/>
        <v>1792.9078931457429</v>
      </c>
      <c r="BK15" s="10">
        <f t="shared" si="43"/>
        <v>1774.9788142142854</v>
      </c>
      <c r="BL15" s="10">
        <f t="shared" si="43"/>
        <v>1757.2290260721425</v>
      </c>
      <c r="BM15" s="10">
        <f t="shared" si="43"/>
        <v>1739.656735811421</v>
      </c>
      <c r="BN15" s="10">
        <f t="shared" si="43"/>
        <v>1722.2601684533067</v>
      </c>
      <c r="BO15" s="10">
        <f t="shared" si="43"/>
        <v>1705.0375667687736</v>
      </c>
      <c r="BP15" s="10">
        <f t="shared" si="43"/>
        <v>1687.9871911010857</v>
      </c>
      <c r="BQ15" s="10">
        <f t="shared" si="43"/>
        <v>1671.1073191900748</v>
      </c>
      <c r="BR15" s="10">
        <f t="shared" si="43"/>
        <v>1654.396245998174</v>
      </c>
      <c r="BS15" s="10">
        <f t="shared" si="43"/>
        <v>1637.8522835381923</v>
      </c>
      <c r="BT15" s="10">
        <f t="shared" si="43"/>
        <v>1621.4737607028103</v>
      </c>
      <c r="BU15" s="10">
        <f t="shared" si="43"/>
        <v>1605.2590230957821</v>
      </c>
      <c r="BV15" s="10">
        <f t="shared" si="43"/>
        <v>1589.2064328648244</v>
      </c>
      <c r="BW15" s="10">
        <f t="shared" si="43"/>
        <v>1573.3143685361761</v>
      </c>
      <c r="BX15" s="10">
        <f t="shared" si="43"/>
        <v>1557.5812248508144</v>
      </c>
      <c r="BY15" s="10">
        <f t="shared" si="43"/>
        <v>1542.0054126023063</v>
      </c>
      <c r="BZ15" s="10">
        <f t="shared" si="43"/>
        <v>1526.5853584762831</v>
      </c>
      <c r="CA15" s="10">
        <f t="shared" si="43"/>
        <v>1511.3195048915202</v>
      </c>
      <c r="CB15" s="10">
        <f t="shared" si="43"/>
        <v>1496.2063098426049</v>
      </c>
      <c r="CC15" s="10">
        <f t="shared" si="43"/>
        <v>1481.2442467441788</v>
      </c>
      <c r="CD15" s="10">
        <f t="shared" si="43"/>
        <v>1466.431804276737</v>
      </c>
      <c r="CE15" s="10">
        <f t="shared" si="43"/>
        <v>1451.7674862339697</v>
      </c>
      <c r="CF15" s="10">
        <f t="shared" si="43"/>
        <v>1437.2498113716301</v>
      </c>
      <c r="CG15" s="10">
        <f t="shared" si="43"/>
        <v>1422.8773132579138</v>
      </c>
      <c r="CH15" s="10">
        <f t="shared" si="43"/>
        <v>1408.6485401253346</v>
      </c>
      <c r="CI15" s="10">
        <f t="shared" si="43"/>
        <v>1394.5620547240812</v>
      </c>
      <c r="CJ15" s="10">
        <f t="shared" si="43"/>
        <v>1380.6164341768404</v>
      </c>
      <c r="CK15" s="10">
        <f t="shared" si="43"/>
        <v>1366.8102698350719</v>
      </c>
      <c r="CL15" s="10">
        <f t="shared" si="43"/>
        <v>1353.1421671367211</v>
      </c>
      <c r="CM15" s="10">
        <f t="shared" si="43"/>
        <v>1339.6107454653538</v>
      </c>
      <c r="CN15" s="10">
        <f t="shared" si="43"/>
        <v>1326.2146380107004</v>
      </c>
      <c r="CO15" s="10">
        <f t="shared" si="43"/>
        <v>1312.9524916305934</v>
      </c>
      <c r="CP15" s="10">
        <f t="shared" si="43"/>
        <v>1299.8229667142875</v>
      </c>
      <c r="CQ15" s="10">
        <f t="shared" si="43"/>
        <v>1286.8247370471447</v>
      </c>
      <c r="CR15" s="10">
        <f t="shared" si="43"/>
        <v>1273.9564896766733</v>
      </c>
      <c r="CS15" s="10">
        <f t="shared" si="43"/>
        <v>1261.2169247799065</v>
      </c>
      <c r="CT15" s="10">
        <f t="shared" si="43"/>
        <v>1248.6047555321074</v>
      </c>
      <c r="CU15" s="10">
        <f t="shared" si="43"/>
        <v>1236.1187079767865</v>
      </c>
      <c r="CV15" s="10">
        <f t="shared" si="43"/>
        <v>1223.7575208970186</v>
      </c>
      <c r="CW15" s="10">
        <f t="shared" si="43"/>
        <v>1211.5199456880484</v>
      </c>
      <c r="CX15" s="10">
        <f t="shared" ref="CX15:EN15" si="44">CW15+(CW15*$AN$20)</f>
        <v>1199.404746231168</v>
      </c>
      <c r="CY15" s="10">
        <f t="shared" si="44"/>
        <v>1187.4106987688563</v>
      </c>
      <c r="CZ15" s="10">
        <f t="shared" si="44"/>
        <v>1175.5365917811678</v>
      </c>
      <c r="DA15" s="10">
        <f t="shared" si="44"/>
        <v>1163.781225863356</v>
      </c>
      <c r="DB15" s="10">
        <f t="shared" si="44"/>
        <v>1152.1434136047224</v>
      </c>
      <c r="DC15" s="10">
        <f t="shared" si="44"/>
        <v>1140.6219794686751</v>
      </c>
      <c r="DD15" s="10">
        <f t="shared" si="44"/>
        <v>1129.2157596739885</v>
      </c>
      <c r="DE15" s="10">
        <f t="shared" si="44"/>
        <v>1117.9236020772487</v>
      </c>
      <c r="DF15" s="10">
        <f t="shared" si="44"/>
        <v>1106.7443660564761</v>
      </c>
      <c r="DG15" s="10">
        <f t="shared" si="44"/>
        <v>1095.6769223959113</v>
      </c>
      <c r="DH15" s="10">
        <f t="shared" si="44"/>
        <v>1084.7201531719522</v>
      </c>
      <c r="DI15" s="10">
        <f t="shared" si="44"/>
        <v>1073.8729516402327</v>
      </c>
      <c r="DJ15" s="10">
        <f t="shared" si="44"/>
        <v>1063.1342221238303</v>
      </c>
      <c r="DK15" s="10">
        <f t="shared" si="44"/>
        <v>1052.502879902592</v>
      </c>
      <c r="DL15" s="10">
        <f t="shared" si="44"/>
        <v>1041.9778511035661</v>
      </c>
      <c r="DM15" s="10">
        <f t="shared" si="44"/>
        <v>1031.5580725925304</v>
      </c>
      <c r="DN15" s="10">
        <f t="shared" si="44"/>
        <v>1021.2424918666051</v>
      </c>
      <c r="DO15" s="10">
        <f t="shared" si="44"/>
        <v>1011.030066947939</v>
      </c>
      <c r="DP15" s="10">
        <f t="shared" si="44"/>
        <v>1000.9197662784595</v>
      </c>
      <c r="DQ15" s="10">
        <f t="shared" si="44"/>
        <v>990.91056861567495</v>
      </c>
      <c r="DR15" s="10">
        <f t="shared" si="44"/>
        <v>981.0014629295182</v>
      </c>
      <c r="DS15" s="10">
        <f t="shared" si="44"/>
        <v>971.19144830022299</v>
      </c>
      <c r="DT15" s="10">
        <f t="shared" si="44"/>
        <v>961.47953381722073</v>
      </c>
      <c r="DU15" s="10">
        <f t="shared" si="44"/>
        <v>951.86473847904847</v>
      </c>
      <c r="DV15" s="10">
        <f t="shared" si="44"/>
        <v>942.34609109425799</v>
      </c>
      <c r="DW15" s="10">
        <f t="shared" si="44"/>
        <v>932.92263018331539</v>
      </c>
      <c r="DX15" s="10">
        <f t="shared" si="44"/>
        <v>923.59340388148223</v>
      </c>
      <c r="DY15" s="10">
        <f t="shared" si="44"/>
        <v>914.35746984266746</v>
      </c>
      <c r="DZ15" s="10">
        <f t="shared" si="44"/>
        <v>905.21389514424084</v>
      </c>
      <c r="EA15" s="10">
        <f t="shared" si="44"/>
        <v>896.16175619279841</v>
      </c>
      <c r="EB15" s="10">
        <f t="shared" si="44"/>
        <v>887.20013863087047</v>
      </c>
      <c r="EC15" s="10">
        <f t="shared" si="44"/>
        <v>878.32813724456173</v>
      </c>
      <c r="ED15" s="10">
        <f t="shared" si="44"/>
        <v>869.54485587211616</v>
      </c>
      <c r="EE15" s="10">
        <f t="shared" si="44"/>
        <v>860.84940731339498</v>
      </c>
      <c r="EF15" s="10">
        <f t="shared" si="44"/>
        <v>852.24091324026108</v>
      </c>
      <c r="EG15" s="10">
        <f t="shared" si="44"/>
        <v>843.71850410785851</v>
      </c>
      <c r="EH15" s="10">
        <f t="shared" si="44"/>
        <v>835.28131906677993</v>
      </c>
      <c r="EI15" s="10">
        <f t="shared" si="44"/>
        <v>826.92850587611213</v>
      </c>
      <c r="EJ15" s="10">
        <f t="shared" si="44"/>
        <v>818.65922081735096</v>
      </c>
      <c r="EK15" s="10">
        <f t="shared" si="44"/>
        <v>810.47262860917749</v>
      </c>
      <c r="EL15" s="10">
        <f t="shared" si="44"/>
        <v>802.36790232308567</v>
      </c>
      <c r="EM15" s="10">
        <f t="shared" si="44"/>
        <v>794.34422329985478</v>
      </c>
      <c r="EN15" s="10">
        <f t="shared" si="44"/>
        <v>786.40078106685621</v>
      </c>
    </row>
    <row r="16" spans="1:144" x14ac:dyDescent="0.3">
      <c r="B16" t="s">
        <v>1</v>
      </c>
      <c r="C16" s="1">
        <v>255.2</v>
      </c>
      <c r="D16" s="1">
        <v>255.2</v>
      </c>
      <c r="E16" s="1">
        <v>255.2</v>
      </c>
      <c r="F16" s="1">
        <v>255.2</v>
      </c>
      <c r="G16" s="1">
        <v>255.2</v>
      </c>
      <c r="H16" s="1">
        <v>255.2</v>
      </c>
      <c r="I16" s="1">
        <v>255.2</v>
      </c>
      <c r="J16" s="1">
        <v>255.2</v>
      </c>
      <c r="K16" s="1">
        <v>255.2</v>
      </c>
      <c r="L16" s="1">
        <v>254.4</v>
      </c>
      <c r="M16" s="1">
        <v>254.5</v>
      </c>
      <c r="N16" s="1">
        <f>247.6</f>
        <v>247.6</v>
      </c>
      <c r="O16" s="1">
        <f t="shared" ref="O16:R16" si="45">247.6</f>
        <v>247.6</v>
      </c>
      <c r="P16" s="1">
        <f t="shared" si="45"/>
        <v>247.6</v>
      </c>
      <c r="Q16" s="1">
        <f t="shared" si="45"/>
        <v>247.6</v>
      </c>
      <c r="R16" s="1">
        <f t="shared" si="45"/>
        <v>247.6</v>
      </c>
      <c r="T16" s="1">
        <v>255.2</v>
      </c>
      <c r="U16" s="1">
        <v>255.2</v>
      </c>
      <c r="V16" s="1">
        <v>255.2</v>
      </c>
      <c r="W16" s="1">
        <v>255.2</v>
      </c>
      <c r="X16" s="1">
        <v>255.2</v>
      </c>
      <c r="Y16" s="1">
        <f t="shared" ref="Y16:AJ16" si="46">247.6</f>
        <v>247.6</v>
      </c>
      <c r="Z16" s="1">
        <f t="shared" si="46"/>
        <v>247.6</v>
      </c>
      <c r="AA16" s="1">
        <f t="shared" si="46"/>
        <v>247.6</v>
      </c>
      <c r="AB16" s="1">
        <f t="shared" si="46"/>
        <v>247.6</v>
      </c>
      <c r="AC16" s="1">
        <f t="shared" si="46"/>
        <v>247.6</v>
      </c>
      <c r="AD16" s="1">
        <f t="shared" si="46"/>
        <v>247.6</v>
      </c>
      <c r="AE16" s="1">
        <f t="shared" si="46"/>
        <v>247.6</v>
      </c>
      <c r="AF16" s="1">
        <f t="shared" si="46"/>
        <v>247.6</v>
      </c>
      <c r="AG16" s="1">
        <f t="shared" si="46"/>
        <v>247.6</v>
      </c>
      <c r="AH16" s="1">
        <f t="shared" si="46"/>
        <v>247.6</v>
      </c>
      <c r="AI16" s="1">
        <f t="shared" si="46"/>
        <v>247.6</v>
      </c>
      <c r="AJ16" s="1">
        <f t="shared" si="46"/>
        <v>247.6</v>
      </c>
    </row>
    <row r="17" spans="1:40" x14ac:dyDescent="0.3">
      <c r="B17" t="s">
        <v>20</v>
      </c>
      <c r="C17" s="5">
        <f t="shared" ref="C17:K17" si="47">C15/C16</f>
        <v>0.95924764890282177</v>
      </c>
      <c r="D17" s="5">
        <f t="shared" si="47"/>
        <v>-2.6371473354231973</v>
      </c>
      <c r="E17" s="5">
        <f t="shared" si="47"/>
        <v>1.1383228840125397</v>
      </c>
      <c r="F17" s="5">
        <f t="shared" si="47"/>
        <v>0.9768808777429463</v>
      </c>
      <c r="G17" s="5">
        <f t="shared" si="47"/>
        <v>-4.3103448275861239E-2</v>
      </c>
      <c r="H17" s="5">
        <f t="shared" si="47"/>
        <v>1.0740595611285269</v>
      </c>
      <c r="I17" s="5">
        <f t="shared" si="47"/>
        <v>1.4177115987460809</v>
      </c>
      <c r="J17" s="5">
        <f t="shared" si="47"/>
        <v>1.4157523510971792</v>
      </c>
      <c r="K17" s="5">
        <f t="shared" si="47"/>
        <v>1.2276645768025065</v>
      </c>
      <c r="L17" s="5">
        <f t="shared" ref="L17:N17" si="48">L15/L16</f>
        <v>1.4728773584905663</v>
      </c>
      <c r="M17" s="5">
        <f t="shared" si="48"/>
        <v>1.238506876227897</v>
      </c>
      <c r="N17" s="5">
        <f t="shared" si="48"/>
        <v>2.2907915993537968</v>
      </c>
      <c r="O17" s="5">
        <f t="shared" ref="O17:R17" si="49">O15/O16</f>
        <v>1.2624188287560578</v>
      </c>
      <c r="P17" s="5">
        <f t="shared" si="49"/>
        <v>1.462519496768983</v>
      </c>
      <c r="Q17" s="5">
        <f t="shared" si="49"/>
        <v>1.6559525751211635</v>
      </c>
      <c r="R17" s="5">
        <f t="shared" si="49"/>
        <v>1.631191587641357</v>
      </c>
      <c r="T17" s="5">
        <f t="shared" ref="T17:Y17" si="50">T15/T16</f>
        <v>1.6869122257053271</v>
      </c>
      <c r="U17" s="5">
        <f t="shared" si="50"/>
        <v>2.2907523510971801</v>
      </c>
      <c r="V17" s="5">
        <f t="shared" si="50"/>
        <v>3.7833072100313463</v>
      </c>
      <c r="W17" s="5">
        <f t="shared" si="50"/>
        <v>0.43730407523510789</v>
      </c>
      <c r="X17" s="5">
        <f t="shared" si="50"/>
        <v>3.8644200626959222</v>
      </c>
      <c r="Y17" s="5">
        <f t="shared" si="50"/>
        <v>6.3424878836833578</v>
      </c>
      <c r="Z17" s="5">
        <f t="shared" ref="Z17" si="51">Z15/Z16</f>
        <v>6.4288996934571934</v>
      </c>
      <c r="AA17" s="5">
        <f t="shared" ref="AA17" si="52">AA15/AA16</f>
        <v>7.4599125814398217</v>
      </c>
      <c r="AB17" s="5">
        <f t="shared" ref="AB17" si="53">AB15/AB16</f>
        <v>8.0489725035389466</v>
      </c>
      <c r="AC17" s="5">
        <f t="shared" ref="AC17" si="54">AC15/AC16</f>
        <v>8.2827994226710633</v>
      </c>
      <c r="AD17" s="5">
        <f t="shared" ref="AD17" si="55">AD15/AD16</f>
        <v>8.5208909929058034</v>
      </c>
      <c r="AE17" s="5">
        <f t="shared" ref="AE17" si="56">AE15/AE16</f>
        <v>8.6641800496264612</v>
      </c>
      <c r="AF17" s="5">
        <f t="shared" ref="AF17" si="57">AF15/AF16</f>
        <v>8.8089550120105446</v>
      </c>
      <c r="AG17" s="5">
        <f t="shared" ref="AG17" si="58">AG15/AG16</f>
        <v>8.9552476684765026</v>
      </c>
      <c r="AH17" s="5">
        <f t="shared" ref="AH17" si="59">AH15/AH16</f>
        <v>9.103090458015302</v>
      </c>
      <c r="AI17" s="5">
        <f t="shared" ref="AI17" si="60">AI15/AI16</f>
        <v>9.2525164880391308</v>
      </c>
      <c r="AJ17" s="5">
        <f t="shared" ref="AJ17" si="61">AJ15/AJ16</f>
        <v>9.4035595527277014</v>
      </c>
    </row>
    <row r="19" spans="1:40" s="6" customFormat="1" x14ac:dyDescent="0.3">
      <c r="A19"/>
      <c r="B19" s="6" t="s">
        <v>36</v>
      </c>
      <c r="G19" s="8">
        <f>G3/C3-1</f>
        <v>6.311737698835973E-2</v>
      </c>
      <c r="H19" s="8">
        <f t="shared" ref="H19:N19" si="62">H3/D3-1</f>
        <v>7.5233460476127778E-2</v>
      </c>
      <c r="I19" s="8">
        <f t="shared" si="62"/>
        <v>8.3267699308654741E-2</v>
      </c>
      <c r="J19" s="8">
        <f t="shared" si="62"/>
        <v>8.0248557478917126E-2</v>
      </c>
      <c r="K19" s="8">
        <f t="shared" si="62"/>
        <v>5.5749432908741792E-2</v>
      </c>
      <c r="L19" s="8">
        <f t="shared" si="62"/>
        <v>4.7420998980632012E-2</v>
      </c>
      <c r="M19" s="8">
        <f t="shared" si="62"/>
        <v>5.0854303833259396E-2</v>
      </c>
      <c r="N19" s="8">
        <f t="shared" si="62"/>
        <v>3.3527816583120984E-2</v>
      </c>
      <c r="O19" s="8">
        <f t="shared" ref="O19" si="63">O3/K3-1</f>
        <v>3.0000000000000027E-2</v>
      </c>
      <c r="P19" s="8">
        <f t="shared" ref="P19" si="64">P3/L3-1</f>
        <v>3.0000000000000027E-2</v>
      </c>
      <c r="Q19" s="8">
        <f t="shared" ref="Q19" si="65">Q3/M3-1</f>
        <v>3.0000000000000027E-2</v>
      </c>
      <c r="R19" s="8">
        <f t="shared" ref="R19" si="66">R3/N3-1</f>
        <v>3.0000000000000027E-2</v>
      </c>
      <c r="U19" s="8">
        <f>U3/T3-1</f>
        <v>0.51134998676683185</v>
      </c>
      <c r="V19" s="8">
        <f t="shared" ref="V19:AJ19" si="67">V3/U3-1</f>
        <v>0.14820302818039743</v>
      </c>
      <c r="W19" s="8">
        <f t="shared" si="67"/>
        <v>5.3004528496680026E-2</v>
      </c>
      <c r="X19" s="8">
        <f t="shared" si="67"/>
        <v>7.562725611658272E-2</v>
      </c>
      <c r="Y19" s="8">
        <f t="shared" si="67"/>
        <v>4.6776599270798913E-2</v>
      </c>
      <c r="Z19" s="8">
        <f t="shared" si="67"/>
        <v>3.0000000000000027E-2</v>
      </c>
      <c r="AA19" s="8">
        <f t="shared" si="67"/>
        <v>3.0000000000000027E-2</v>
      </c>
      <c r="AB19" s="8">
        <f t="shared" si="67"/>
        <v>2.0000000000000018E-2</v>
      </c>
      <c r="AC19" s="8">
        <f t="shared" si="67"/>
        <v>2.0000000000000018E-2</v>
      </c>
      <c r="AD19" s="8">
        <f t="shared" si="67"/>
        <v>2.0000000000000018E-2</v>
      </c>
      <c r="AE19" s="8">
        <f t="shared" si="67"/>
        <v>1.0000000000000009E-2</v>
      </c>
      <c r="AF19" s="8">
        <f t="shared" si="67"/>
        <v>1.0000000000000009E-2</v>
      </c>
      <c r="AG19" s="8">
        <f t="shared" si="67"/>
        <v>1.0000000000000009E-2</v>
      </c>
      <c r="AH19" s="8">
        <f t="shared" si="67"/>
        <v>1.0000000000000009E-2</v>
      </c>
      <c r="AI19" s="8">
        <f t="shared" si="67"/>
        <v>1.0000000000000009E-2</v>
      </c>
      <c r="AJ19" s="8">
        <f t="shared" si="67"/>
        <v>1.0000000000000009E-2</v>
      </c>
    </row>
    <row r="20" spans="1:40" x14ac:dyDescent="0.3">
      <c r="B20" t="s">
        <v>37</v>
      </c>
      <c r="C20" s="9">
        <f t="shared" ref="C20:F20" si="68">C5/C3</f>
        <v>0.55609145295181561</v>
      </c>
      <c r="D20" s="9">
        <f t="shared" si="68"/>
        <v>0.57810513393835772</v>
      </c>
      <c r="E20" s="9">
        <f t="shared" si="68"/>
        <v>0.59254397479653453</v>
      </c>
      <c r="F20" s="9">
        <f t="shared" si="68"/>
        <v>0.58814913448735018</v>
      </c>
      <c r="G20" s="9">
        <f>G5/G3</f>
        <v>0.58654685046239752</v>
      </c>
      <c r="H20" s="9">
        <f t="shared" ref="H20:N20" si="69">H5/H3</f>
        <v>0.61590214067278293</v>
      </c>
      <c r="I20" s="9">
        <f t="shared" si="69"/>
        <v>0.63020559841660939</v>
      </c>
      <c r="J20" s="9">
        <f t="shared" si="69"/>
        <v>0.62104527898759143</v>
      </c>
      <c r="K20" s="9">
        <f t="shared" si="69"/>
        <v>0.61887447318403432</v>
      </c>
      <c r="L20" s="9">
        <f t="shared" si="69"/>
        <v>0.63465431329803801</v>
      </c>
      <c r="M20" s="9">
        <f t="shared" si="69"/>
        <v>0.63603167281672812</v>
      </c>
      <c r="N20" s="9">
        <f t="shared" si="69"/>
        <v>0.621412101455037</v>
      </c>
      <c r="O20" s="9">
        <f t="shared" ref="O20:R20" si="70">O5/O3</f>
        <v>0.63</v>
      </c>
      <c r="P20" s="9">
        <f t="shared" si="70"/>
        <v>0.63</v>
      </c>
      <c r="Q20" s="9">
        <f t="shared" si="70"/>
        <v>0.64</v>
      </c>
      <c r="R20" s="9">
        <f t="shared" si="70"/>
        <v>0.62</v>
      </c>
      <c r="T20" s="9">
        <f t="shared" ref="T20:AJ20" si="71">T5/T3</f>
        <v>0.57780085099452339</v>
      </c>
      <c r="U20" s="9">
        <f t="shared" si="71"/>
        <v>0.50823050810927317</v>
      </c>
      <c r="V20" s="9">
        <f t="shared" si="71"/>
        <v>0.55727492432952441</v>
      </c>
      <c r="W20" s="9">
        <f t="shared" si="71"/>
        <v>0.57901421631980032</v>
      </c>
      <c r="X20" s="9">
        <f t="shared" si="71"/>
        <v>0.6138962545575074</v>
      </c>
      <c r="Y20" s="9">
        <f t="shared" si="71"/>
        <v>0.6279339006530773</v>
      </c>
      <c r="Z20" s="9">
        <f t="shared" si="71"/>
        <v>0.64</v>
      </c>
      <c r="AA20" s="9">
        <f t="shared" si="71"/>
        <v>0.65</v>
      </c>
      <c r="AB20" s="9">
        <f t="shared" si="71"/>
        <v>0.65</v>
      </c>
      <c r="AC20" s="9">
        <f t="shared" si="71"/>
        <v>0.65</v>
      </c>
      <c r="AD20" s="9">
        <f t="shared" si="71"/>
        <v>0.65</v>
      </c>
      <c r="AE20" s="9">
        <f t="shared" si="71"/>
        <v>0.65</v>
      </c>
      <c r="AF20" s="9">
        <f t="shared" si="71"/>
        <v>0.65</v>
      </c>
      <c r="AG20" s="9">
        <f t="shared" si="71"/>
        <v>0.65</v>
      </c>
      <c r="AH20" s="9">
        <f t="shared" si="71"/>
        <v>0.65</v>
      </c>
      <c r="AI20" s="9">
        <f t="shared" si="71"/>
        <v>0.65</v>
      </c>
      <c r="AJ20" s="9">
        <f t="shared" si="71"/>
        <v>0.65</v>
      </c>
      <c r="AM20" t="s">
        <v>40</v>
      </c>
      <c r="AN20" s="9">
        <v>-0.01</v>
      </c>
    </row>
    <row r="21" spans="1:40" x14ac:dyDescent="0.3">
      <c r="B21" t="s">
        <v>38</v>
      </c>
      <c r="C21" s="9">
        <f t="shared" ref="C21:F21" si="72">C6/C3</f>
        <v>0.38171868478412091</v>
      </c>
      <c r="D21" s="9">
        <f t="shared" si="72"/>
        <v>0.37844710421324917</v>
      </c>
      <c r="E21" s="9">
        <f t="shared" si="72"/>
        <v>0.40203027916338491</v>
      </c>
      <c r="F21" s="9">
        <f t="shared" si="72"/>
        <v>0.40812250332889483</v>
      </c>
      <c r="G21" s="9">
        <f>G6/G3</f>
        <v>0.45502530099459076</v>
      </c>
      <c r="H21" s="9">
        <f t="shared" ref="H21:N21" si="73">H6/H3</f>
        <v>0.4132517838939857</v>
      </c>
      <c r="I21" s="9">
        <f t="shared" si="73"/>
        <v>0.4047340146221271</v>
      </c>
      <c r="J21" s="9">
        <f t="shared" si="73"/>
        <v>0.41712548278412359</v>
      </c>
      <c r="K21" s="9">
        <f t="shared" si="73"/>
        <v>0.43198909181059419</v>
      </c>
      <c r="L21" s="9">
        <f t="shared" si="73"/>
        <v>0.41174867642478979</v>
      </c>
      <c r="M21" s="9">
        <f t="shared" si="73"/>
        <v>0.45318265682656828</v>
      </c>
      <c r="N21" s="9">
        <f t="shared" si="73"/>
        <v>0.39878349367893773</v>
      </c>
      <c r="O21" s="9">
        <f t="shared" ref="O21:R21" si="74">O6/O3</f>
        <v>0.43000000000000005</v>
      </c>
      <c r="P21" s="9">
        <f t="shared" si="74"/>
        <v>0.42</v>
      </c>
      <c r="Q21" s="9">
        <f t="shared" si="74"/>
        <v>0.42</v>
      </c>
      <c r="R21" s="9">
        <f t="shared" si="74"/>
        <v>0.39</v>
      </c>
      <c r="T21" s="9">
        <f t="shared" ref="T21:AJ21" si="75">T6/T3</f>
        <v>0.41668193570716022</v>
      </c>
      <c r="U21" s="9">
        <f t="shared" si="75"/>
        <v>0.387803760978501</v>
      </c>
      <c r="V21" s="9">
        <f t="shared" si="75"/>
        <v>0.39785072385555742</v>
      </c>
      <c r="W21" s="9">
        <f t="shared" si="75"/>
        <v>0.39268683987699987</v>
      </c>
      <c r="X21" s="9">
        <f t="shared" si="75"/>
        <v>0.42196304275770635</v>
      </c>
      <c r="Y21" s="9">
        <f t="shared" si="75"/>
        <v>0.42403522659806059</v>
      </c>
      <c r="Z21" s="9">
        <f t="shared" si="75"/>
        <v>0.41492776568375217</v>
      </c>
      <c r="AA21" s="9">
        <f t="shared" si="75"/>
        <v>0.40000000000000008</v>
      </c>
      <c r="AB21" s="9">
        <f t="shared" si="75"/>
        <v>0.39</v>
      </c>
      <c r="AC21" s="9">
        <f t="shared" si="75"/>
        <v>0.39</v>
      </c>
      <c r="AD21" s="9">
        <f t="shared" si="75"/>
        <v>0.39</v>
      </c>
      <c r="AE21" s="9">
        <f t="shared" si="75"/>
        <v>0.39</v>
      </c>
      <c r="AF21" s="9">
        <f t="shared" si="75"/>
        <v>0.39</v>
      </c>
      <c r="AG21" s="9">
        <f t="shared" si="75"/>
        <v>0.39</v>
      </c>
      <c r="AH21" s="9">
        <f t="shared" si="75"/>
        <v>0.39</v>
      </c>
      <c r="AI21" s="9">
        <f t="shared" si="75"/>
        <v>0.39</v>
      </c>
      <c r="AJ21" s="9">
        <f t="shared" si="75"/>
        <v>0.39</v>
      </c>
      <c r="AM21" t="s">
        <v>41</v>
      </c>
      <c r="AN21" s="9">
        <v>0.08</v>
      </c>
    </row>
    <row r="22" spans="1:40" x14ac:dyDescent="0.3">
      <c r="B22" t="s">
        <v>39</v>
      </c>
      <c r="C22" s="9">
        <f t="shared" ref="C22:F22" si="76">C7/C3</f>
        <v>0.1743727681676947</v>
      </c>
      <c r="D22" s="9">
        <f t="shared" si="76"/>
        <v>0.19965802972510854</v>
      </c>
      <c r="E22" s="9">
        <f t="shared" si="76"/>
        <v>0.1905136956331496</v>
      </c>
      <c r="F22" s="9">
        <f t="shared" si="76"/>
        <v>0.18002663115845535</v>
      </c>
      <c r="G22" s="9">
        <f>G7/G3</f>
        <v>0.13152154946780675</v>
      </c>
      <c r="H22" s="9">
        <f t="shared" ref="H22:N22" si="77">H7/H3</f>
        <v>0.20265035677879714</v>
      </c>
      <c r="I22" s="9">
        <f t="shared" si="77"/>
        <v>0.22547158379448232</v>
      </c>
      <c r="J22" s="9">
        <f t="shared" si="77"/>
        <v>0.2039197962034679</v>
      </c>
      <c r="K22" s="9">
        <f t="shared" si="77"/>
        <v>0.1868853813734401</v>
      </c>
      <c r="L22" s="9">
        <f t="shared" si="77"/>
        <v>0.22290563687324824</v>
      </c>
      <c r="M22" s="9">
        <f t="shared" si="77"/>
        <v>0.18284901599015985</v>
      </c>
      <c r="N22" s="9">
        <f t="shared" si="77"/>
        <v>0.22262860777609927</v>
      </c>
      <c r="O22" s="9">
        <f t="shared" ref="O22:R22" si="78">O7/O3</f>
        <v>0.19999999999999996</v>
      </c>
      <c r="P22" s="9">
        <f t="shared" si="78"/>
        <v>0.21000000000000005</v>
      </c>
      <c r="Q22" s="9">
        <f t="shared" si="78"/>
        <v>0.22000000000000003</v>
      </c>
      <c r="R22" s="9">
        <f t="shared" si="78"/>
        <v>0.23</v>
      </c>
      <c r="T22" s="9">
        <f t="shared" ref="T22:AJ22" si="79">T7/T3</f>
        <v>0.16111891528736325</v>
      </c>
      <c r="U22" s="9">
        <f t="shared" si="79"/>
        <v>0.12042674713077219</v>
      </c>
      <c r="V22" s="9">
        <f t="shared" si="79"/>
        <v>0.15942420047396699</v>
      </c>
      <c r="W22" s="9">
        <f t="shared" si="79"/>
        <v>0.18632737644280042</v>
      </c>
      <c r="X22" s="9">
        <f t="shared" si="79"/>
        <v>0.19193321179980105</v>
      </c>
      <c r="Y22" s="9">
        <f t="shared" si="79"/>
        <v>0.20389867405501677</v>
      </c>
      <c r="Z22" s="9">
        <f t="shared" si="79"/>
        <v>0.22507223431624784</v>
      </c>
      <c r="AA22" s="9">
        <f t="shared" si="79"/>
        <v>0.24999999999999994</v>
      </c>
      <c r="AB22" s="9">
        <f t="shared" si="79"/>
        <v>0.26</v>
      </c>
      <c r="AC22" s="9">
        <f t="shared" si="79"/>
        <v>0.26</v>
      </c>
      <c r="AD22" s="9">
        <f t="shared" si="79"/>
        <v>0.26</v>
      </c>
      <c r="AE22" s="9">
        <f t="shared" si="79"/>
        <v>0.26</v>
      </c>
      <c r="AF22" s="9">
        <f t="shared" si="79"/>
        <v>0.26000000000000006</v>
      </c>
      <c r="AG22" s="9">
        <f t="shared" si="79"/>
        <v>0.26</v>
      </c>
      <c r="AH22" s="9">
        <f t="shared" si="79"/>
        <v>0.26</v>
      </c>
      <c r="AI22" s="9">
        <f t="shared" si="79"/>
        <v>0.26000000000000006</v>
      </c>
      <c r="AJ22" s="9">
        <f t="shared" si="79"/>
        <v>0.25999999999999995</v>
      </c>
      <c r="AM22" t="s">
        <v>42</v>
      </c>
      <c r="AN22" s="1">
        <f>NPV(AN21,Z15:EN15)</f>
        <v>25575.941021104089</v>
      </c>
    </row>
    <row r="23" spans="1:40" x14ac:dyDescent="0.3">
      <c r="B23" t="s">
        <v>18</v>
      </c>
      <c r="C23" s="9">
        <f t="shared" ref="C23:F23" si="80">C12/C11</f>
        <v>0.18354430379746831</v>
      </c>
      <c r="D23" s="9">
        <f t="shared" si="80"/>
        <v>-8.4331576425491148E-2</v>
      </c>
      <c r="E23" s="9">
        <f t="shared" si="80"/>
        <v>5.2631578947368404E-2</v>
      </c>
      <c r="F23" s="9">
        <f t="shared" si="80"/>
        <v>0.16100543478260873</v>
      </c>
      <c r="G23" s="9">
        <f>G12/G11</f>
        <v>0.57090909090909314</v>
      </c>
      <c r="H23" s="9">
        <f t="shared" ref="H23:N23" si="81">H12/H11</f>
        <v>0.39207650273224037</v>
      </c>
      <c r="I23" s="9">
        <f t="shared" si="81"/>
        <v>0.14097654380086172</v>
      </c>
      <c r="J23" s="9">
        <f t="shared" si="81"/>
        <v>2.5278608317477566E-2</v>
      </c>
      <c r="K23" s="9">
        <f t="shared" si="81"/>
        <v>5.9490953695185582E-2</v>
      </c>
      <c r="L23" s="9">
        <f t="shared" si="81"/>
        <v>0.17338979273456648</v>
      </c>
      <c r="M23" s="9">
        <f t="shared" si="81"/>
        <v>0.15302585977072788</v>
      </c>
      <c r="N23" s="9">
        <f t="shared" si="81"/>
        <v>0.19543747391848657</v>
      </c>
      <c r="O23" s="9">
        <f t="shared" ref="O23:R23" si="82">O12/O11</f>
        <v>0.16</v>
      </c>
      <c r="P23" s="9">
        <f t="shared" si="82"/>
        <v>0.16</v>
      </c>
      <c r="Q23" s="9">
        <f t="shared" si="82"/>
        <v>0.16</v>
      </c>
      <c r="R23" s="9">
        <f t="shared" si="82"/>
        <v>0.16</v>
      </c>
      <c r="T23" s="9">
        <f t="shared" ref="T23:AJ23" si="83">T12/T11</f>
        <v>0.12010040548368425</v>
      </c>
      <c r="U23" s="9">
        <f t="shared" si="83"/>
        <v>0.12994445379565719</v>
      </c>
      <c r="V23" s="9">
        <f t="shared" si="83"/>
        <v>0.16179990426041174</v>
      </c>
      <c r="W23" s="9">
        <f t="shared" si="83"/>
        <v>0.74286987522281789</v>
      </c>
      <c r="X23" s="9">
        <f t="shared" si="83"/>
        <v>0.17864774767074121</v>
      </c>
      <c r="Y23" s="9">
        <f t="shared" si="83"/>
        <v>0.15790881849315075</v>
      </c>
      <c r="Z23" s="9">
        <f t="shared" si="83"/>
        <v>0.15124438908296742</v>
      </c>
      <c r="AA23" s="9">
        <f t="shared" si="83"/>
        <v>0.17</v>
      </c>
      <c r="AB23" s="9">
        <f t="shared" si="83"/>
        <v>0.17</v>
      </c>
      <c r="AC23" s="9">
        <f t="shared" si="83"/>
        <v>0.17</v>
      </c>
      <c r="AD23" s="9">
        <f t="shared" si="83"/>
        <v>0.17</v>
      </c>
      <c r="AE23" s="9">
        <f t="shared" si="83"/>
        <v>0.17</v>
      </c>
      <c r="AF23" s="9">
        <f t="shared" si="83"/>
        <v>0.17</v>
      </c>
      <c r="AG23" s="9">
        <f t="shared" si="83"/>
        <v>0.17</v>
      </c>
      <c r="AH23" s="9">
        <f t="shared" si="83"/>
        <v>0.17</v>
      </c>
      <c r="AI23" s="9">
        <f t="shared" si="83"/>
        <v>0.17</v>
      </c>
      <c r="AJ23" s="9">
        <f t="shared" si="83"/>
        <v>0.17</v>
      </c>
      <c r="AM23" t="s">
        <v>43</v>
      </c>
      <c r="AN23" s="1">
        <f>Main!D8</f>
        <v>-14205.4</v>
      </c>
    </row>
    <row r="24" spans="1:40" x14ac:dyDescent="0.3">
      <c r="B24" t="s">
        <v>21</v>
      </c>
      <c r="C24" s="9">
        <f>C14/C3</f>
        <v>2.2724110745258081E-3</v>
      </c>
      <c r="D24" s="9">
        <f t="shared" ref="D24:N24" si="84">D14/D3</f>
        <v>3.4635450918497086E-3</v>
      </c>
      <c r="E24" s="9">
        <f t="shared" si="84"/>
        <v>4.2443335958694314E-3</v>
      </c>
      <c r="F24" s="9">
        <f t="shared" si="84"/>
        <v>4.1278295605858854E-3</v>
      </c>
      <c r="G24" s="9">
        <f t="shared" si="84"/>
        <v>2.879078694817658E-3</v>
      </c>
      <c r="H24" s="9">
        <f t="shared" si="84"/>
        <v>4.1182466870540264E-3</v>
      </c>
      <c r="I24" s="9">
        <f t="shared" si="84"/>
        <v>5.9781072020034746E-3</v>
      </c>
      <c r="J24" s="9">
        <f t="shared" si="84"/>
        <v>4.5607691675569068E-3</v>
      </c>
      <c r="K24" s="9">
        <f t="shared" si="84"/>
        <v>4.0492521279233131E-3</v>
      </c>
      <c r="L24" s="9">
        <f t="shared" si="84"/>
        <v>5.6446589847399557E-3</v>
      </c>
      <c r="M24" s="9">
        <f t="shared" si="84"/>
        <v>7.0725707257072567E-3</v>
      </c>
      <c r="N24" s="9">
        <f t="shared" si="84"/>
        <v>1.2363838753279796E-2</v>
      </c>
      <c r="O24" s="9">
        <f t="shared" ref="O24:R24" si="85">O14/O3</f>
        <v>6.7575872330217406E-3</v>
      </c>
      <c r="P24" s="9">
        <f t="shared" si="85"/>
        <v>7.3758287651973066E-3</v>
      </c>
      <c r="Q24" s="9">
        <f t="shared" si="85"/>
        <v>8.2460663490130041E-3</v>
      </c>
      <c r="R24" s="9">
        <f t="shared" si="85"/>
        <v>8.4011235256837308E-3</v>
      </c>
      <c r="T24" s="9">
        <f t="shared" ref="T24:AJ24" si="86">T14/T3</f>
        <v>7.8788248946436226E-3</v>
      </c>
      <c r="U24" s="9">
        <f t="shared" si="86"/>
        <v>2.7749339942884856E-3</v>
      </c>
      <c r="V24" s="9">
        <f t="shared" si="86"/>
        <v>2.6279358971350807E-3</v>
      </c>
      <c r="W24" s="9">
        <f t="shared" si="86"/>
        <v>3.5429386336289495E-3</v>
      </c>
      <c r="X24" s="9">
        <f t="shared" si="86"/>
        <v>4.412495856811402E-3</v>
      </c>
      <c r="Y24" s="9">
        <f t="shared" si="86"/>
        <v>7.3025925192954696E-3</v>
      </c>
      <c r="Z24" s="9">
        <f t="shared" si="86"/>
        <v>7.7069952388180421E-3</v>
      </c>
      <c r="AA24" s="9">
        <f t="shared" si="86"/>
        <v>7.5199322475845935E-3</v>
      </c>
      <c r="AB24" s="9">
        <f t="shared" si="86"/>
        <v>7.4093450086495241E-3</v>
      </c>
      <c r="AC24" s="9">
        <f t="shared" si="86"/>
        <v>7.3003840526399723E-3</v>
      </c>
      <c r="AD24" s="9">
        <f t="shared" si="86"/>
        <v>7.1930254636305606E-3</v>
      </c>
      <c r="AE24" s="9">
        <f t="shared" si="86"/>
        <v>7.1574164266818927E-3</v>
      </c>
      <c r="AF24" s="9">
        <f t="shared" si="86"/>
        <v>7.1219836720943577E-3</v>
      </c>
      <c r="AG24" s="9">
        <f t="shared" si="86"/>
        <v>7.0867263271829992E-3</v>
      </c>
      <c r="AH24" s="9">
        <f t="shared" si="86"/>
        <v>7.0516435235830821E-3</v>
      </c>
      <c r="AI24" s="9">
        <f t="shared" si="86"/>
        <v>7.0167343972287102E-3</v>
      </c>
      <c r="AJ24" s="9">
        <f t="shared" si="86"/>
        <v>6.9819980883315379E-3</v>
      </c>
      <c r="AM24" t="s">
        <v>44</v>
      </c>
      <c r="AN24" s="1">
        <f>AN22+AN23</f>
        <v>11370.541021104089</v>
      </c>
    </row>
    <row r="25" spans="1:40" x14ac:dyDescent="0.3">
      <c r="B25" t="s">
        <v>51</v>
      </c>
      <c r="C25" s="9">
        <f>C15/C3</f>
        <v>0.11352780225386082</v>
      </c>
      <c r="D25" s="9">
        <f t="shared" ref="D25:N25" si="87">D15/D3</f>
        <v>-0.29505896795124725</v>
      </c>
      <c r="E25" s="9">
        <f t="shared" si="87"/>
        <v>0.1271112277938217</v>
      </c>
      <c r="F25" s="9">
        <f t="shared" si="87"/>
        <v>0.11065246338215708</v>
      </c>
      <c r="G25" s="9">
        <f t="shared" si="87"/>
        <v>-4.7984644913626716E-3</v>
      </c>
      <c r="H25" s="9">
        <f t="shared" si="87"/>
        <v>0.11176350662589196</v>
      </c>
      <c r="I25" s="9">
        <f t="shared" si="87"/>
        <v>0.14614048551924702</v>
      </c>
      <c r="J25" s="9">
        <f t="shared" si="87"/>
        <v>0.14845098200345144</v>
      </c>
      <c r="K25" s="9">
        <f t="shared" si="87"/>
        <v>0.1294521113957523</v>
      </c>
      <c r="L25" s="9">
        <f t="shared" si="87"/>
        <v>0.14586577390221117</v>
      </c>
      <c r="M25" s="9">
        <f t="shared" si="87"/>
        <v>0.12115621156211556</v>
      </c>
      <c r="N25" s="9">
        <f t="shared" si="87"/>
        <v>0.22549097559036338</v>
      </c>
      <c r="O25" s="9">
        <f t="shared" ref="O25:R25" si="88">O15/O3</f>
        <v>0.12539078532384787</v>
      </c>
      <c r="P25" s="9">
        <f t="shared" si="88"/>
        <v>0.13686260042088338</v>
      </c>
      <c r="Q25" s="9">
        <f t="shared" si="88"/>
        <v>0.153010342253908</v>
      </c>
      <c r="R25" s="9">
        <f t="shared" si="88"/>
        <v>0.15588751430990919</v>
      </c>
      <c r="T25" s="9">
        <f t="shared" ref="T25:AJ25" si="89">T15/T3</f>
        <v>8.7644292432663418E-2</v>
      </c>
      <c r="U25" s="9">
        <f t="shared" si="89"/>
        <v>7.8748855002963566E-2</v>
      </c>
      <c r="V25" s="9">
        <f t="shared" si="89"/>
        <v>0.11327107628053211</v>
      </c>
      <c r="W25" s="9">
        <f t="shared" si="89"/>
        <v>1.2433709167075127E-2</v>
      </c>
      <c r="X25" s="9">
        <f t="shared" si="89"/>
        <v>0.10215031488233337</v>
      </c>
      <c r="Y25" s="9">
        <f t="shared" si="89"/>
        <v>0.15539283593904604</v>
      </c>
      <c r="Z25" s="9">
        <f t="shared" si="89"/>
        <v>0.15292228245644718</v>
      </c>
      <c r="AA25" s="9">
        <f t="shared" si="89"/>
        <v>0.17227832288184491</v>
      </c>
      <c r="AB25" s="9">
        <f t="shared" si="89"/>
        <v>0.18223725665887794</v>
      </c>
      <c r="AC25" s="9">
        <f t="shared" si="89"/>
        <v>0.18385426038695016</v>
      </c>
      <c r="AD25" s="9">
        <f t="shared" si="89"/>
        <v>0.18543059471861589</v>
      </c>
      <c r="AE25" s="9">
        <f t="shared" si="89"/>
        <v>0.18668201362874995</v>
      </c>
      <c r="AF25" s="9">
        <f t="shared" si="89"/>
        <v>0.18792217322812202</v>
      </c>
      <c r="AG25" s="9">
        <f t="shared" si="89"/>
        <v>0.18915153137697238</v>
      </c>
      <c r="AH25" s="9">
        <f t="shared" si="89"/>
        <v>0.19037054138977866</v>
      </c>
      <c r="AI25" s="9">
        <f t="shared" si="89"/>
        <v>0.19157965221253359</v>
      </c>
      <c r="AJ25" s="9">
        <f t="shared" si="89"/>
        <v>0.19277930859822306</v>
      </c>
      <c r="AM25" t="s">
        <v>45</v>
      </c>
      <c r="AN25" s="11">
        <f>AN24/AJ16</f>
        <v>45.923025125622331</v>
      </c>
    </row>
    <row r="26" spans="1:40" x14ac:dyDescent="0.3">
      <c r="AM26" t="s">
        <v>46</v>
      </c>
      <c r="AN26" s="11">
        <f>Main!D3</f>
        <v>92.41</v>
      </c>
    </row>
    <row r="27" spans="1:40" s="6" customFormat="1" x14ac:dyDescent="0.3">
      <c r="B27" s="6" t="s">
        <v>43</v>
      </c>
      <c r="J27" s="7">
        <f>+J28-J42-J46</f>
        <v>-14224</v>
      </c>
      <c r="K27" s="7">
        <f>+K28-K42-K46</f>
        <v>-14977.5</v>
      </c>
      <c r="L27" s="7">
        <f>+L28-L42-L46</f>
        <v>-15079.7</v>
      </c>
      <c r="AM27" s="6" t="s">
        <v>47</v>
      </c>
      <c r="AN27" s="8">
        <f>AN25/AN26-1</f>
        <v>-0.50305134589738842</v>
      </c>
    </row>
    <row r="28" spans="1:40" x14ac:dyDescent="0.3">
      <c r="B28" t="s">
        <v>3</v>
      </c>
      <c r="J28" s="1">
        <v>2088.9</v>
      </c>
      <c r="K28" s="1">
        <v>2167.6</v>
      </c>
      <c r="L28" s="1">
        <v>2097.1999999999998</v>
      </c>
      <c r="AM28" t="s">
        <v>48</v>
      </c>
      <c r="AN28" s="4" t="s">
        <v>49</v>
      </c>
    </row>
    <row r="29" spans="1:40" x14ac:dyDescent="0.3">
      <c r="B29" t="s">
        <v>52</v>
      </c>
      <c r="J29" s="1">
        <v>1120.0999999999999</v>
      </c>
      <c r="K29" s="1">
        <v>1054.2</v>
      </c>
      <c r="L29" s="1">
        <v>1134.3</v>
      </c>
    </row>
    <row r="30" spans="1:40" x14ac:dyDescent="0.3">
      <c r="B30" t="s">
        <v>53</v>
      </c>
      <c r="J30" s="1">
        <v>4097.3999999999996</v>
      </c>
      <c r="K30" s="1">
        <v>5617.6</v>
      </c>
      <c r="L30" s="1">
        <v>4496.8</v>
      </c>
    </row>
    <row r="31" spans="1:40" x14ac:dyDescent="0.3">
      <c r="B31" t="s">
        <v>54</v>
      </c>
      <c r="J31" s="1">
        <v>767.4</v>
      </c>
      <c r="K31" s="1">
        <v>830.5</v>
      </c>
      <c r="L31" s="1">
        <v>822.1</v>
      </c>
    </row>
    <row r="32" spans="1:40" s="6" customFormat="1" x14ac:dyDescent="0.3">
      <c r="B32" s="6" t="s">
        <v>65</v>
      </c>
      <c r="J32" s="7">
        <f>SUM(J28:J31)</f>
        <v>8073.7999999999993</v>
      </c>
      <c r="K32" s="7">
        <f>SUM(K28:K31)</f>
        <v>9669.9000000000015</v>
      </c>
      <c r="L32" s="7">
        <f>SUM(L28:L31)</f>
        <v>8550.4</v>
      </c>
    </row>
    <row r="33" spans="2:12" x14ac:dyDescent="0.3">
      <c r="B33" t="s">
        <v>55</v>
      </c>
      <c r="J33" s="1">
        <v>26743.5</v>
      </c>
      <c r="K33" s="1">
        <v>26728</v>
      </c>
      <c r="L33" s="1">
        <v>26860.5</v>
      </c>
    </row>
    <row r="34" spans="2:12" x14ac:dyDescent="0.3">
      <c r="B34" t="s">
        <v>56</v>
      </c>
      <c r="J34" s="1">
        <v>10168</v>
      </c>
      <c r="K34" s="1">
        <v>9797</v>
      </c>
      <c r="L34" s="1">
        <v>9607.2999999999993</v>
      </c>
    </row>
    <row r="35" spans="2:12" x14ac:dyDescent="0.3">
      <c r="B35" t="s">
        <v>57</v>
      </c>
      <c r="J35" s="1">
        <v>2190</v>
      </c>
      <c r="K35" s="1">
        <v>2200.4</v>
      </c>
      <c r="L35" s="1">
        <v>2309.3000000000002</v>
      </c>
    </row>
    <row r="36" spans="2:12" x14ac:dyDescent="0.3">
      <c r="B36" t="s">
        <v>58</v>
      </c>
      <c r="J36" s="1">
        <v>111.7</v>
      </c>
      <c r="K36" s="1">
        <v>80.2</v>
      </c>
      <c r="L36" s="1">
        <v>80.099999999999994</v>
      </c>
    </row>
    <row r="37" spans="2:12" x14ac:dyDescent="0.3">
      <c r="B37" t="s">
        <v>59</v>
      </c>
      <c r="J37" s="1">
        <v>713.1</v>
      </c>
      <c r="K37" s="1">
        <v>731.4</v>
      </c>
      <c r="L37" s="1">
        <v>741.5</v>
      </c>
    </row>
    <row r="38" spans="2:12" x14ac:dyDescent="0.3">
      <c r="B38" t="s">
        <v>60</v>
      </c>
      <c r="J38" s="1">
        <v>2570</v>
      </c>
      <c r="K38" s="1">
        <v>2567.6999999999998</v>
      </c>
      <c r="L38" s="1">
        <v>2603.1</v>
      </c>
    </row>
    <row r="39" spans="2:12" s="6" customFormat="1" x14ac:dyDescent="0.3">
      <c r="B39" s="6" t="s">
        <v>66</v>
      </c>
      <c r="J39" s="7">
        <f>SUM(J33:J38)</f>
        <v>42496.299999999996</v>
      </c>
      <c r="K39" s="7">
        <f>SUM(K33:K38)</f>
        <v>42104.7</v>
      </c>
      <c r="L39" s="7">
        <f>SUM(L33:L38)</f>
        <v>42201.8</v>
      </c>
    </row>
    <row r="40" spans="2:12" s="6" customFormat="1" x14ac:dyDescent="0.3">
      <c r="B40" s="6" t="s">
        <v>67</v>
      </c>
      <c r="J40" s="12">
        <f>J32+J39</f>
        <v>50570.099999999991</v>
      </c>
      <c r="K40" s="12">
        <f>K32+K39</f>
        <v>51774.6</v>
      </c>
      <c r="L40" s="12">
        <f>L32+L39</f>
        <v>50752.200000000004</v>
      </c>
    </row>
    <row r="41" spans="2:12" x14ac:dyDescent="0.3">
      <c r="B41" t="s">
        <v>63</v>
      </c>
      <c r="J41" s="1">
        <v>981.2</v>
      </c>
      <c r="K41" s="1">
        <v>1095.9000000000001</v>
      </c>
      <c r="L41" s="1">
        <v>1010</v>
      </c>
    </row>
    <row r="42" spans="2:12" x14ac:dyDescent="0.3">
      <c r="B42" t="s">
        <v>4</v>
      </c>
      <c r="J42" s="1">
        <v>620.6</v>
      </c>
      <c r="K42" s="1">
        <v>1579.4</v>
      </c>
      <c r="L42" s="1">
        <v>1565</v>
      </c>
    </row>
    <row r="43" spans="2:12" x14ac:dyDescent="0.3">
      <c r="B43" t="s">
        <v>62</v>
      </c>
      <c r="J43" s="1">
        <v>2825</v>
      </c>
      <c r="K43" s="1">
        <v>2630.8</v>
      </c>
      <c r="L43" s="1">
        <v>2680.7</v>
      </c>
    </row>
    <row r="44" spans="2:12" x14ac:dyDescent="0.3">
      <c r="B44" t="s">
        <v>61</v>
      </c>
      <c r="J44" s="1">
        <v>3698.9</v>
      </c>
      <c r="K44" s="1">
        <v>5210</v>
      </c>
      <c r="L44" s="1">
        <v>4073.6</v>
      </c>
    </row>
    <row r="45" spans="2:12" s="6" customFormat="1" x14ac:dyDescent="0.3">
      <c r="B45" s="6" t="s">
        <v>68</v>
      </c>
      <c r="J45" s="7">
        <f>SUM(J41:J44)</f>
        <v>8125.7000000000007</v>
      </c>
      <c r="K45" s="7">
        <f>SUM(K41:K44)</f>
        <v>10516.1</v>
      </c>
      <c r="L45" s="7">
        <f>SUM(L41:L44)</f>
        <v>9329.2999999999993</v>
      </c>
    </row>
    <row r="46" spans="2:12" x14ac:dyDescent="0.3">
      <c r="B46" t="s">
        <v>4</v>
      </c>
      <c r="J46" s="1">
        <v>15692.3</v>
      </c>
      <c r="K46" s="1">
        <v>15565.7</v>
      </c>
      <c r="L46" s="1">
        <v>15611.9</v>
      </c>
    </row>
    <row r="47" spans="2:12" x14ac:dyDescent="0.3">
      <c r="B47" t="s">
        <v>58</v>
      </c>
      <c r="J47" s="1">
        <v>2242.1</v>
      </c>
      <c r="K47" s="1">
        <v>2062.9</v>
      </c>
      <c r="L47" s="1">
        <v>2010.6</v>
      </c>
    </row>
    <row r="48" spans="2:12" x14ac:dyDescent="0.3">
      <c r="B48" t="s">
        <v>64</v>
      </c>
      <c r="J48" s="1">
        <v>722.5</v>
      </c>
      <c r="K48" s="1">
        <v>644</v>
      </c>
      <c r="L48" s="1">
        <v>639.20000000000005</v>
      </c>
    </row>
    <row r="49" spans="2:12" s="6" customFormat="1" x14ac:dyDescent="0.3">
      <c r="B49" s="6" t="s">
        <v>69</v>
      </c>
      <c r="J49" s="7">
        <f>SUM(J46:J48)</f>
        <v>18656.899999999998</v>
      </c>
      <c r="K49" s="7">
        <f>SUM(K46:K48)</f>
        <v>18272.600000000002</v>
      </c>
      <c r="L49" s="7">
        <f>SUM(L46:L48)</f>
        <v>18261.7</v>
      </c>
    </row>
    <row r="50" spans="2:12" s="6" customFormat="1" x14ac:dyDescent="0.3">
      <c r="B50" s="6" t="s">
        <v>70</v>
      </c>
      <c r="J50" s="7">
        <f>508+23279.6</f>
        <v>23787.599999999999</v>
      </c>
      <c r="K50" s="7">
        <f>143.1+22843.1</f>
        <v>22986.199999999997</v>
      </c>
      <c r="L50" s="7">
        <f>23013.7+147.4</f>
        <v>23161.100000000002</v>
      </c>
    </row>
    <row r="51" spans="2:12" s="6" customFormat="1" x14ac:dyDescent="0.3">
      <c r="B51" s="6" t="s">
        <v>71</v>
      </c>
      <c r="J51" s="12">
        <f>J45+J49+J50</f>
        <v>50570.2</v>
      </c>
      <c r="K51" s="12">
        <f>K45+K49+K50</f>
        <v>51774.9</v>
      </c>
      <c r="L51" s="12">
        <f>L45+L49+L50</f>
        <v>50752.100000000006</v>
      </c>
    </row>
    <row r="53" spans="2:12" s="6" customFormat="1" x14ac:dyDescent="0.3">
      <c r="B53" s="6" t="s">
        <v>82</v>
      </c>
      <c r="G53" s="7">
        <f>G15+G14</f>
        <v>-4.399999999999789</v>
      </c>
      <c r="H53" s="7">
        <f>H15+H14</f>
        <v>284.20000000000005</v>
      </c>
      <c r="K53" s="7">
        <f>K15+K14</f>
        <v>323.09999999999968</v>
      </c>
      <c r="L53" s="7">
        <f>L15+L14</f>
        <v>389.2000000000001</v>
      </c>
    </row>
    <row r="54" spans="2:12" x14ac:dyDescent="0.3">
      <c r="B54" t="s">
        <v>72</v>
      </c>
      <c r="G54" s="1">
        <v>106</v>
      </c>
      <c r="H54" s="1">
        <f>223.8-G54</f>
        <v>117.80000000000001</v>
      </c>
      <c r="K54" s="1">
        <v>117.9</v>
      </c>
      <c r="L54" s="1">
        <f>241.9-K54</f>
        <v>124</v>
      </c>
    </row>
    <row r="55" spans="2:12" x14ac:dyDescent="0.3">
      <c r="B55" t="s">
        <v>73</v>
      </c>
      <c r="G55" s="1">
        <f>301.3+29.3</f>
        <v>330.6</v>
      </c>
      <c r="H55" s="1">
        <f>645.7+59.1-G55</f>
        <v>374.20000000000005</v>
      </c>
      <c r="K55" s="1">
        <f>343.2+32.9</f>
        <v>376.09999999999997</v>
      </c>
      <c r="L55" s="1">
        <f>689.2+68-K55</f>
        <v>381.10000000000008</v>
      </c>
    </row>
    <row r="56" spans="2:12" x14ac:dyDescent="0.3">
      <c r="B56" t="s">
        <v>74</v>
      </c>
      <c r="G56" s="1">
        <v>90</v>
      </c>
      <c r="H56" s="1">
        <f>136.7-G56</f>
        <v>46.699999999999989</v>
      </c>
      <c r="K56" s="1">
        <v>40.1</v>
      </c>
      <c r="L56" s="1">
        <f>83.4-K56</f>
        <v>43.300000000000004</v>
      </c>
    </row>
    <row r="57" spans="2:12" x14ac:dyDescent="0.3">
      <c r="B57" t="s">
        <v>75</v>
      </c>
      <c r="G57" s="1">
        <v>29.9</v>
      </c>
      <c r="H57" s="1">
        <f>61.3-G57</f>
        <v>31.4</v>
      </c>
      <c r="K57" s="1">
        <v>19.399999999999999</v>
      </c>
      <c r="L57" s="1">
        <f>41-K57</f>
        <v>21.6</v>
      </c>
    </row>
    <row r="58" spans="2:12" x14ac:dyDescent="0.3">
      <c r="B58" t="s">
        <v>76</v>
      </c>
      <c r="G58" s="1">
        <v>15.8</v>
      </c>
      <c r="H58" s="1">
        <f>32.4-G58</f>
        <v>16.599999999999998</v>
      </c>
      <c r="K58" s="1">
        <v>15.4</v>
      </c>
      <c r="L58" s="1">
        <f>29.7-K58</f>
        <v>14.299999999999999</v>
      </c>
    </row>
    <row r="59" spans="2:12" x14ac:dyDescent="0.3">
      <c r="B59" t="s">
        <v>58</v>
      </c>
      <c r="G59" s="1">
        <v>-160</v>
      </c>
      <c r="H59" s="1">
        <f>-317.7-G59</f>
        <v>-157.69999999999999</v>
      </c>
      <c r="K59" s="1">
        <v>-111.9</v>
      </c>
      <c r="L59" s="1">
        <f>-185-K59</f>
        <v>-73.099999999999994</v>
      </c>
    </row>
    <row r="60" spans="2:12" x14ac:dyDescent="0.3">
      <c r="B60" t="s">
        <v>59</v>
      </c>
      <c r="G60" s="1"/>
      <c r="H60" s="1">
        <v>-12.2</v>
      </c>
      <c r="K60" s="1"/>
      <c r="L60" s="1">
        <v>-35.9</v>
      </c>
    </row>
    <row r="61" spans="2:12" x14ac:dyDescent="0.3">
      <c r="B61" t="s">
        <v>34</v>
      </c>
      <c r="G61" s="1">
        <v>-19.2</v>
      </c>
      <c r="H61" s="1">
        <f>-36.4-G61</f>
        <v>-17.2</v>
      </c>
      <c r="K61" s="1">
        <v>-16.399999999999999</v>
      </c>
      <c r="L61" s="1">
        <f>-34.8-K61</f>
        <v>-18.399999999999999</v>
      </c>
    </row>
    <row r="62" spans="2:12" x14ac:dyDescent="0.3">
      <c r="B62" t="s">
        <v>77</v>
      </c>
      <c r="G62" s="1">
        <v>5.2</v>
      </c>
      <c r="H62" s="1">
        <v>0</v>
      </c>
      <c r="K62" s="1">
        <v>0</v>
      </c>
      <c r="L62" s="1">
        <v>0</v>
      </c>
    </row>
    <row r="63" spans="2:12" x14ac:dyDescent="0.3">
      <c r="B63" t="s">
        <v>78</v>
      </c>
      <c r="G63" s="1">
        <v>244.8</v>
      </c>
      <c r="H63" s="1">
        <f>139.1-G63</f>
        <v>-105.70000000000002</v>
      </c>
      <c r="K63" s="1">
        <v>0</v>
      </c>
      <c r="L63" s="1">
        <v>0</v>
      </c>
    </row>
    <row r="64" spans="2:12" x14ac:dyDescent="0.3">
      <c r="B64" t="s">
        <v>79</v>
      </c>
      <c r="G64" s="1">
        <v>10.5</v>
      </c>
      <c r="H64" s="1">
        <f>13.6-G64</f>
        <v>3.0999999999999996</v>
      </c>
      <c r="K64" s="1">
        <v>-5.6</v>
      </c>
      <c r="L64" s="1">
        <f>23-K64</f>
        <v>28.6</v>
      </c>
    </row>
    <row r="65" spans="2:12" x14ac:dyDescent="0.3">
      <c r="B65" t="s">
        <v>52</v>
      </c>
      <c r="G65" s="1">
        <v>30.8</v>
      </c>
      <c r="H65" s="1">
        <f>-59-G65</f>
        <v>-89.8</v>
      </c>
      <c r="K65" s="1">
        <v>50.9</v>
      </c>
      <c r="L65" s="1">
        <f>-29.7-K65</f>
        <v>-80.599999999999994</v>
      </c>
    </row>
    <row r="66" spans="2:12" x14ac:dyDescent="0.3">
      <c r="B66" t="s">
        <v>80</v>
      </c>
      <c r="G66" s="1">
        <v>248.7</v>
      </c>
      <c r="H66" s="1">
        <f>213.9-G66</f>
        <v>-34.799999999999983</v>
      </c>
      <c r="K66" s="1">
        <v>-24.7</v>
      </c>
      <c r="L66" s="1">
        <f>-57.7-K66</f>
        <v>-33</v>
      </c>
    </row>
    <row r="67" spans="2:12" x14ac:dyDescent="0.3">
      <c r="B67" t="s">
        <v>54</v>
      </c>
      <c r="G67" s="1">
        <v>-119.5</v>
      </c>
      <c r="H67" s="1">
        <f>-191.5-G67</f>
        <v>-72</v>
      </c>
      <c r="K67" s="1">
        <v>-120.8</v>
      </c>
      <c r="L67" s="1">
        <f>-160.1-K67</f>
        <v>-39.299999999999997</v>
      </c>
    </row>
    <row r="68" spans="2:12" x14ac:dyDescent="0.3">
      <c r="B68" t="s">
        <v>62</v>
      </c>
      <c r="G68" s="1">
        <v>-209.1</v>
      </c>
      <c r="H68" s="1">
        <f>-24.1-G68</f>
        <v>185</v>
      </c>
      <c r="K68" s="1">
        <v>-247.2</v>
      </c>
      <c r="L68" s="1">
        <f>-232.4-K68</f>
        <v>14.799999999999983</v>
      </c>
    </row>
    <row r="69" spans="2:12" s="6" customFormat="1" x14ac:dyDescent="0.3">
      <c r="B69" s="6" t="s">
        <v>81</v>
      </c>
      <c r="G69" s="7">
        <f>G53+SUM(G54:G68)</f>
        <v>600.10000000000014</v>
      </c>
      <c r="H69" s="7">
        <f>H53+SUM(H54:H68)</f>
        <v>569.60000000000014</v>
      </c>
      <c r="K69" s="7">
        <f>K53+SUM(K54:K68)</f>
        <v>416.29999999999967</v>
      </c>
      <c r="L69" s="7">
        <f>L53+SUM(L54:L68)</f>
        <v>736.60000000000014</v>
      </c>
    </row>
    <row r="70" spans="2:12" x14ac:dyDescent="0.3">
      <c r="H70" s="1">
        <f>H69+G69</f>
        <v>1169.7000000000003</v>
      </c>
      <c r="L70" s="1">
        <f>L69+K69</f>
        <v>1152.8999999999999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2024-07-15T11:53:22Z</dcterms:created>
  <dcterms:modified xsi:type="dcterms:W3CDTF">2025-04-04T09:08:55Z</dcterms:modified>
</cp:coreProperties>
</file>