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s\Desktop\Financial Analysis\"/>
    </mc:Choice>
  </mc:AlternateContent>
  <xr:revisionPtr revIDLastSave="0" documentId="13_ncr:1_{7031A035-28B6-4137-B87F-57F48981F754}" xr6:coauthVersionLast="46" xr6:coauthVersionMax="46" xr10:uidLastSave="{00000000-0000-0000-0000-000000000000}"/>
  <bookViews>
    <workbookView xWindow="-108" yWindow="-108" windowWidth="23256" windowHeight="12576" activeTab="1" xr2:uid="{ED22E7E7-50C9-4021-876B-300849FAE656}"/>
  </bookViews>
  <sheets>
    <sheet name="Main" sheetId="1" r:id="rId1"/>
    <sheet name="Model" sheetId="3" r:id="rId2"/>
    <sheet name="Currency" sheetId="2" r:id="rId3"/>
  </sheets>
  <definedNames>
    <definedName name="ExternalData_1" localSheetId="2" hidden="1">Currency!$A$1:$K$2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" i="3" l="1"/>
  <c r="T5" i="3" s="1"/>
  <c r="T4" i="3" s="1"/>
  <c r="U3" i="3"/>
  <c r="V3" i="3"/>
  <c r="V5" i="3" s="1"/>
  <c r="S5" i="3"/>
  <c r="S17" i="3" s="1"/>
  <c r="D7" i="1"/>
  <c r="AB7" i="3"/>
  <c r="T9" i="3"/>
  <c r="U9" i="3" s="1"/>
  <c r="V9" i="3" s="1"/>
  <c r="U7" i="3"/>
  <c r="U20" i="3" s="1"/>
  <c r="V7" i="3"/>
  <c r="V20" i="3" s="1"/>
  <c r="T7" i="3"/>
  <c r="T20" i="3" s="1"/>
  <c r="S20" i="3"/>
  <c r="R9" i="3"/>
  <c r="R5" i="3"/>
  <c r="V6" i="3" l="1"/>
  <c r="V8" i="3" s="1"/>
  <c r="V10" i="3" s="1"/>
  <c r="V11" i="3" s="1"/>
  <c r="V21" i="3" s="1"/>
  <c r="AB3" i="3"/>
  <c r="AC3" i="3" s="1"/>
  <c r="V4" i="3"/>
  <c r="U5" i="3"/>
  <c r="U6" i="3"/>
  <c r="T6" i="3"/>
  <c r="AB9" i="3"/>
  <c r="S8" i="3"/>
  <c r="U19" i="3"/>
  <c r="S19" i="3"/>
  <c r="T17" i="3"/>
  <c r="V16" i="3"/>
  <c r="V17" i="3"/>
  <c r="S16" i="3"/>
  <c r="U16" i="3"/>
  <c r="T16" i="3"/>
  <c r="AN24" i="3"/>
  <c r="D8" i="1"/>
  <c r="AN21" i="3" s="1"/>
  <c r="AC9" i="3"/>
  <c r="AD9" i="3" s="1"/>
  <c r="AE9" i="3" s="1"/>
  <c r="AF9" i="3" s="1"/>
  <c r="AG9" i="3" s="1"/>
  <c r="AH9" i="3" s="1"/>
  <c r="AI9" i="3" s="1"/>
  <c r="AJ9" i="3" s="1"/>
  <c r="AK9" i="3" s="1"/>
  <c r="AA9" i="3"/>
  <c r="AA7" i="3"/>
  <c r="AA3" i="3"/>
  <c r="Z11" i="3"/>
  <c r="Z7" i="3"/>
  <c r="Z6" i="3"/>
  <c r="Z19" i="3" s="1"/>
  <c r="Z4" i="3"/>
  <c r="Z3" i="3"/>
  <c r="Y11" i="3"/>
  <c r="Y7" i="3"/>
  <c r="Y20" i="3" s="1"/>
  <c r="Y6" i="3"/>
  <c r="Y4" i="3"/>
  <c r="Y3" i="3"/>
  <c r="X11" i="3"/>
  <c r="X7" i="3"/>
  <c r="X6" i="3"/>
  <c r="X4" i="3"/>
  <c r="X3" i="3"/>
  <c r="AA6" i="3"/>
  <c r="R20" i="3"/>
  <c r="Q20" i="3"/>
  <c r="P20" i="3"/>
  <c r="O20" i="3"/>
  <c r="N20" i="3"/>
  <c r="M20" i="3"/>
  <c r="L20" i="3"/>
  <c r="K20" i="3"/>
  <c r="J20" i="3"/>
  <c r="I20" i="3"/>
  <c r="H20" i="3"/>
  <c r="Q19" i="3"/>
  <c r="P19" i="3"/>
  <c r="O19" i="3"/>
  <c r="N19" i="3"/>
  <c r="M19" i="3"/>
  <c r="L19" i="3"/>
  <c r="K19" i="3"/>
  <c r="J19" i="3"/>
  <c r="I19" i="3"/>
  <c r="H19" i="3"/>
  <c r="Q16" i="3"/>
  <c r="P16" i="3"/>
  <c r="O16" i="3"/>
  <c r="N16" i="3"/>
  <c r="M16" i="3"/>
  <c r="L16" i="3"/>
  <c r="K16" i="3"/>
  <c r="J16" i="3"/>
  <c r="I16" i="3"/>
  <c r="H16" i="3"/>
  <c r="G19" i="3"/>
  <c r="F19" i="3"/>
  <c r="E19" i="3"/>
  <c r="D19" i="3"/>
  <c r="G20" i="3"/>
  <c r="C19" i="3"/>
  <c r="G16" i="3"/>
  <c r="F9" i="3"/>
  <c r="X9" i="3" s="1"/>
  <c r="F5" i="3"/>
  <c r="F8" i="3" s="1"/>
  <c r="F18" i="3" s="1"/>
  <c r="C5" i="3"/>
  <c r="C8" i="3" s="1"/>
  <c r="C10" i="3" s="1"/>
  <c r="C12" i="3" s="1"/>
  <c r="C14" i="3" s="1"/>
  <c r="G5" i="3"/>
  <c r="G8" i="3" s="1"/>
  <c r="G10" i="3" s="1"/>
  <c r="G12" i="3" s="1"/>
  <c r="G14" i="3" s="1"/>
  <c r="D5" i="3"/>
  <c r="D8" i="3" s="1"/>
  <c r="D10" i="3" s="1"/>
  <c r="D12" i="3" s="1"/>
  <c r="D14" i="3" s="1"/>
  <c r="H5" i="3"/>
  <c r="H8" i="3" s="1"/>
  <c r="H10" i="3" s="1"/>
  <c r="H12" i="3" s="1"/>
  <c r="H14" i="3" s="1"/>
  <c r="E5" i="3"/>
  <c r="E8" i="3" s="1"/>
  <c r="E10" i="3" s="1"/>
  <c r="E12" i="3" s="1"/>
  <c r="E14" i="3" s="1"/>
  <c r="I5" i="3"/>
  <c r="I8" i="3" s="1"/>
  <c r="I10" i="3" s="1"/>
  <c r="I12" i="3" s="1"/>
  <c r="I14" i="3" s="1"/>
  <c r="J9" i="3"/>
  <c r="Y9" i="3" s="1"/>
  <c r="J5" i="3"/>
  <c r="J8" i="3" s="1"/>
  <c r="N9" i="3"/>
  <c r="Z9" i="3" s="1"/>
  <c r="N5" i="3"/>
  <c r="N8" i="3" s="1"/>
  <c r="K5" i="3"/>
  <c r="K8" i="3" s="1"/>
  <c r="K10" i="3" s="1"/>
  <c r="K12" i="3" s="1"/>
  <c r="K14" i="3" s="1"/>
  <c r="O5" i="3"/>
  <c r="O8" i="3" s="1"/>
  <c r="O10" i="3" s="1"/>
  <c r="O12" i="3" s="1"/>
  <c r="O14" i="3" s="1"/>
  <c r="L5" i="3"/>
  <c r="L8" i="3" s="1"/>
  <c r="L10" i="3" s="1"/>
  <c r="L12" i="3" s="1"/>
  <c r="L14" i="3" s="1"/>
  <c r="P5" i="3"/>
  <c r="P8" i="3" s="1"/>
  <c r="P10" i="3" s="1"/>
  <c r="P12" i="3" s="1"/>
  <c r="P14" i="3" s="1"/>
  <c r="M5" i="3"/>
  <c r="M8" i="3" s="1"/>
  <c r="M10" i="3" s="1"/>
  <c r="M12" i="3" s="1"/>
  <c r="M14" i="3" s="1"/>
  <c r="Q5" i="3"/>
  <c r="Q8" i="3" s="1"/>
  <c r="Q10" i="3" s="1"/>
  <c r="F3" i="1"/>
  <c r="D5" i="1"/>
  <c r="D19" i="1"/>
  <c r="AC6" i="3" l="1"/>
  <c r="AC5" i="3"/>
  <c r="AB6" i="3"/>
  <c r="V19" i="3"/>
  <c r="AD3" i="3"/>
  <c r="V18" i="3"/>
  <c r="U4" i="3"/>
  <c r="AB4" i="3" s="1"/>
  <c r="AB5" i="3" s="1"/>
  <c r="U8" i="3"/>
  <c r="U17" i="3"/>
  <c r="T19" i="3"/>
  <c r="T8" i="3"/>
  <c r="T10" i="3" s="1"/>
  <c r="T11" i="3" s="1"/>
  <c r="T21" i="3" s="1"/>
  <c r="V12" i="3"/>
  <c r="V14" i="3" s="1"/>
  <c r="S18" i="3"/>
  <c r="S10" i="3"/>
  <c r="Y19" i="3"/>
  <c r="C17" i="3"/>
  <c r="X19" i="3"/>
  <c r="N10" i="3"/>
  <c r="N12" i="3" s="1"/>
  <c r="N14" i="3" s="1"/>
  <c r="Z16" i="3"/>
  <c r="J10" i="3"/>
  <c r="J12" i="3" s="1"/>
  <c r="J14" i="3" s="1"/>
  <c r="F10" i="3"/>
  <c r="F12" i="3" s="1"/>
  <c r="F14" i="3" s="1"/>
  <c r="O18" i="3"/>
  <c r="C21" i="3"/>
  <c r="X5" i="3"/>
  <c r="X17" i="3" s="1"/>
  <c r="AA16" i="3"/>
  <c r="N17" i="3"/>
  <c r="I21" i="3"/>
  <c r="Z5" i="3"/>
  <c r="Z17" i="3" s="1"/>
  <c r="Q17" i="3"/>
  <c r="N21" i="3"/>
  <c r="Y16" i="3"/>
  <c r="I17" i="3"/>
  <c r="I18" i="3"/>
  <c r="Z20" i="3"/>
  <c r="Q21" i="3"/>
  <c r="Q12" i="3"/>
  <c r="Q14" i="3" s="1"/>
  <c r="E21" i="3"/>
  <c r="K17" i="3"/>
  <c r="Q18" i="3"/>
  <c r="G18" i="3"/>
  <c r="L17" i="3"/>
  <c r="J18" i="3"/>
  <c r="L21" i="3"/>
  <c r="K21" i="3"/>
  <c r="D17" i="3"/>
  <c r="G21" i="3"/>
  <c r="M17" i="3"/>
  <c r="K18" i="3"/>
  <c r="M21" i="3"/>
  <c r="Y5" i="3"/>
  <c r="Y17" i="3" s="1"/>
  <c r="L18" i="3"/>
  <c r="F17" i="3"/>
  <c r="O17" i="3"/>
  <c r="M18" i="3"/>
  <c r="O21" i="3"/>
  <c r="E17" i="3"/>
  <c r="G17" i="3"/>
  <c r="H17" i="3"/>
  <c r="P17" i="3"/>
  <c r="N18" i="3"/>
  <c r="H21" i="3"/>
  <c r="P21" i="3"/>
  <c r="D18" i="3"/>
  <c r="C18" i="3"/>
  <c r="E18" i="3"/>
  <c r="D21" i="3"/>
  <c r="J17" i="3"/>
  <c r="H18" i="3"/>
  <c r="P18" i="3"/>
  <c r="AC7" i="3"/>
  <c r="AD7" i="3" s="1"/>
  <c r="AE7" i="3" s="1"/>
  <c r="AB20" i="3"/>
  <c r="AA20" i="3"/>
  <c r="D11" i="1"/>
  <c r="AG32" i="3"/>
  <c r="Y32" i="3"/>
  <c r="AB30" i="3"/>
  <c r="Z29" i="3"/>
  <c r="AF32" i="3"/>
  <c r="X32" i="3"/>
  <c r="AA30" i="3"/>
  <c r="Y29" i="3"/>
  <c r="AA26" i="3"/>
  <c r="X34" i="3"/>
  <c r="AE32" i="3"/>
  <c r="Z30" i="3"/>
  <c r="X29" i="3"/>
  <c r="Z26" i="3"/>
  <c r="Y27" i="3"/>
  <c r="AI32" i="3"/>
  <c r="Z34" i="3"/>
  <c r="AD32" i="3"/>
  <c r="Y30" i="3"/>
  <c r="Y26" i="3"/>
  <c r="AJ32" i="3"/>
  <c r="AB32" i="3"/>
  <c r="X27" i="3"/>
  <c r="Y34" i="3"/>
  <c r="AK32" i="3"/>
  <c r="AC32" i="3"/>
  <c r="X30" i="3"/>
  <c r="Z27" i="3"/>
  <c r="X26" i="3"/>
  <c r="AH32" i="3"/>
  <c r="Z32" i="3"/>
  <c r="AA29" i="3"/>
  <c r="AA32" i="3"/>
  <c r="AA19" i="3"/>
  <c r="AB26" i="3"/>
  <c r="R17" i="3"/>
  <c r="AA4" i="3"/>
  <c r="AA5" i="3" s="1"/>
  <c r="AA17" i="3" s="1"/>
  <c r="R16" i="3"/>
  <c r="R8" i="3"/>
  <c r="R19" i="3"/>
  <c r="D9" i="1"/>
  <c r="D10" i="1"/>
  <c r="AD6" i="3" l="1"/>
  <c r="AD5" i="3"/>
  <c r="U18" i="3"/>
  <c r="U10" i="3"/>
  <c r="T12" i="3"/>
  <c r="T14" i="3" s="1"/>
  <c r="T18" i="3"/>
  <c r="AF30" i="3"/>
  <c r="AF7" i="3"/>
  <c r="AG7" i="3" s="1"/>
  <c r="AH7" i="3" s="1"/>
  <c r="AI7" i="3" s="1"/>
  <c r="AJ7" i="3" s="1"/>
  <c r="AK7" i="3" s="1"/>
  <c r="S12" i="3"/>
  <c r="S14" i="3" s="1"/>
  <c r="X28" i="3"/>
  <c r="X8" i="3"/>
  <c r="X31" i="3" s="1"/>
  <c r="Z28" i="3"/>
  <c r="F21" i="3"/>
  <c r="J21" i="3"/>
  <c r="Z8" i="3"/>
  <c r="Y8" i="3"/>
  <c r="Y31" i="3" s="1"/>
  <c r="Y28" i="3"/>
  <c r="AD20" i="3"/>
  <c r="AC20" i="3"/>
  <c r="AE30" i="3"/>
  <c r="AC30" i="3"/>
  <c r="AD30" i="3"/>
  <c r="AA27" i="3"/>
  <c r="AA28" i="3"/>
  <c r="D12" i="1"/>
  <c r="D13" i="1" s="1"/>
  <c r="AB29" i="3"/>
  <c r="AG20" i="3"/>
  <c r="AF20" i="3"/>
  <c r="AE20" i="3"/>
  <c r="AA8" i="3"/>
  <c r="AB16" i="3"/>
  <c r="R18" i="3"/>
  <c r="R10" i="3"/>
  <c r="X18" i="3"/>
  <c r="U11" i="3" l="1"/>
  <c r="U21" i="3" s="1"/>
  <c r="S21" i="3"/>
  <c r="X10" i="3"/>
  <c r="Z18" i="3"/>
  <c r="Z10" i="3"/>
  <c r="Z31" i="3"/>
  <c r="Y10" i="3"/>
  <c r="Y33" i="3" s="1"/>
  <c r="Y18" i="3"/>
  <c r="X21" i="3"/>
  <c r="X33" i="3"/>
  <c r="AH20" i="3"/>
  <c r="AG30" i="3"/>
  <c r="AD29" i="3"/>
  <c r="AC26" i="3"/>
  <c r="AB8" i="3"/>
  <c r="AB18" i="3" s="1"/>
  <c r="AB28" i="3"/>
  <c r="AB19" i="3"/>
  <c r="AA18" i="3"/>
  <c r="AA31" i="3"/>
  <c r="AA10" i="3"/>
  <c r="AA33" i="3" s="1"/>
  <c r="AC29" i="3"/>
  <c r="AD16" i="3"/>
  <c r="AC16" i="3"/>
  <c r="AC28" i="3"/>
  <c r="AB17" i="3"/>
  <c r="AB27" i="3"/>
  <c r="X12" i="3"/>
  <c r="AB11" i="3" l="1"/>
  <c r="U12" i="3"/>
  <c r="U14" i="3" s="1"/>
  <c r="Y21" i="3"/>
  <c r="Y12" i="3"/>
  <c r="Z33" i="3"/>
  <c r="Z12" i="3"/>
  <c r="Z21" i="3"/>
  <c r="X14" i="3"/>
  <c r="X35" i="3"/>
  <c r="Y14" i="3"/>
  <c r="Y35" i="3"/>
  <c r="AH30" i="3"/>
  <c r="AB10" i="3"/>
  <c r="AB31" i="3"/>
  <c r="AC19" i="3"/>
  <c r="AE3" i="3"/>
  <c r="AD26" i="3"/>
  <c r="AC17" i="3"/>
  <c r="AC8" i="3"/>
  <c r="AC31" i="3" s="1"/>
  <c r="AC4" i="3"/>
  <c r="AC27" i="3" s="1"/>
  <c r="AA11" i="3"/>
  <c r="AA34" i="3" s="1"/>
  <c r="R21" i="3"/>
  <c r="AD19" i="3"/>
  <c r="R12" i="3"/>
  <c r="R14" i="3" s="1"/>
  <c r="AE6" i="3" l="1"/>
  <c r="AF3" i="3"/>
  <c r="AE29" i="3"/>
  <c r="Z35" i="3"/>
  <c r="Z14" i="3"/>
  <c r="AI30" i="3"/>
  <c r="AI20" i="3"/>
  <c r="AB33" i="3"/>
  <c r="AB12" i="3"/>
  <c r="AD8" i="3"/>
  <c r="AD18" i="3" s="1"/>
  <c r="AD28" i="3"/>
  <c r="AE26" i="3"/>
  <c r="AC10" i="3"/>
  <c r="AC18" i="3"/>
  <c r="AD4" i="3"/>
  <c r="AD27" i="3" s="1"/>
  <c r="AD17" i="3"/>
  <c r="AE5" i="3"/>
  <c r="AE28" i="3" s="1"/>
  <c r="AE16" i="3"/>
  <c r="AA12" i="3"/>
  <c r="AA21" i="3"/>
  <c r="AC33" i="3" l="1"/>
  <c r="AC11" i="3"/>
  <c r="AF26" i="3"/>
  <c r="AF6" i="3"/>
  <c r="AE19" i="3"/>
  <c r="AJ20" i="3"/>
  <c r="AJ30" i="3"/>
  <c r="AB35" i="3"/>
  <c r="AB14" i="3"/>
  <c r="AD10" i="3"/>
  <c r="AD11" i="3" s="1"/>
  <c r="AD31" i="3"/>
  <c r="AA14" i="3"/>
  <c r="AA35" i="3"/>
  <c r="AB21" i="3"/>
  <c r="AB34" i="3"/>
  <c r="AG3" i="3"/>
  <c r="AG6" i="3" s="1"/>
  <c r="AE17" i="3"/>
  <c r="AE8" i="3"/>
  <c r="AE31" i="3" s="1"/>
  <c r="AE4" i="3"/>
  <c r="AE27" i="3" s="1"/>
  <c r="AF5" i="3"/>
  <c r="AF28" i="3" s="1"/>
  <c r="AF16" i="3"/>
  <c r="AK30" i="3" l="1"/>
  <c r="AK20" i="3"/>
  <c r="AC21" i="3"/>
  <c r="AC34" i="3"/>
  <c r="AD33" i="3"/>
  <c r="AH3" i="3"/>
  <c r="AG26" i="3"/>
  <c r="AF19" i="3"/>
  <c r="AF29" i="3"/>
  <c r="AF8" i="3"/>
  <c r="AG29" i="3"/>
  <c r="AC12" i="3"/>
  <c r="AE10" i="3"/>
  <c r="AE18" i="3"/>
  <c r="AF4" i="3"/>
  <c r="AF27" i="3" s="1"/>
  <c r="AF17" i="3"/>
  <c r="AG5" i="3"/>
  <c r="AG28" i="3" s="1"/>
  <c r="AG16" i="3"/>
  <c r="AH6" i="3" l="1"/>
  <c r="AI3" i="3"/>
  <c r="AJ3" i="3" s="1"/>
  <c r="AK3" i="3" s="1"/>
  <c r="AE33" i="3"/>
  <c r="AE11" i="3"/>
  <c r="AC35" i="3"/>
  <c r="AG4" i="3"/>
  <c r="AG27" i="3" s="1"/>
  <c r="AG19" i="3"/>
  <c r="AD21" i="3"/>
  <c r="AD34" i="3"/>
  <c r="AD12" i="3"/>
  <c r="AI6" i="3"/>
  <c r="AI29" i="3" s="1"/>
  <c r="AH26" i="3"/>
  <c r="AH29" i="3"/>
  <c r="AF10" i="3"/>
  <c r="AF11" i="3" s="1"/>
  <c r="AF31" i="3"/>
  <c r="AF18" i="3"/>
  <c r="AC14" i="3"/>
  <c r="AG17" i="3"/>
  <c r="AG8" i="3"/>
  <c r="AG31" i="3" s="1"/>
  <c r="AH5" i="3"/>
  <c r="AH28" i="3" s="1"/>
  <c r="AH16" i="3"/>
  <c r="AH19" i="3" l="1"/>
  <c r="AI26" i="3"/>
  <c r="AF33" i="3"/>
  <c r="AD14" i="3"/>
  <c r="AD35" i="3"/>
  <c r="AE21" i="3"/>
  <c r="AE34" i="3"/>
  <c r="AE12" i="3"/>
  <c r="AG10" i="3"/>
  <c r="AG18" i="3"/>
  <c r="AH17" i="3"/>
  <c r="AH8" i="3"/>
  <c r="AH31" i="3" s="1"/>
  <c r="AH4" i="3"/>
  <c r="AH27" i="3" s="1"/>
  <c r="AI19" i="3"/>
  <c r="AI5" i="3"/>
  <c r="AI28" i="3" s="1"/>
  <c r="AI16" i="3"/>
  <c r="AE35" i="3" l="1"/>
  <c r="AG33" i="3"/>
  <c r="AG11" i="3"/>
  <c r="AJ6" i="3"/>
  <c r="AJ29" i="3" s="1"/>
  <c r="AF21" i="3"/>
  <c r="AF34" i="3"/>
  <c r="AJ26" i="3"/>
  <c r="AF12" i="3"/>
  <c r="AE14" i="3"/>
  <c r="AH10" i="3"/>
  <c r="AH18" i="3"/>
  <c r="AI17" i="3"/>
  <c r="AI8" i="3"/>
  <c r="AI31" i="3" s="1"/>
  <c r="AI4" i="3"/>
  <c r="AI27" i="3" s="1"/>
  <c r="AJ5" i="3"/>
  <c r="AJ16" i="3"/>
  <c r="AH33" i="3" l="1"/>
  <c r="AH11" i="3"/>
  <c r="AJ19" i="3"/>
  <c r="AK26" i="3"/>
  <c r="AK6" i="3"/>
  <c r="AK29" i="3" s="1"/>
  <c r="AF14" i="3"/>
  <c r="AF35" i="3"/>
  <c r="AG21" i="3"/>
  <c r="AG34" i="3"/>
  <c r="AJ4" i="3"/>
  <c r="AJ27" i="3" s="1"/>
  <c r="AJ28" i="3"/>
  <c r="AG12" i="3"/>
  <c r="AG35" i="3" s="1"/>
  <c r="AJ17" i="3"/>
  <c r="AJ8" i="3"/>
  <c r="AJ31" i="3" s="1"/>
  <c r="AI10" i="3"/>
  <c r="AI18" i="3"/>
  <c r="AK16" i="3"/>
  <c r="AK5" i="3"/>
  <c r="AI33" i="3" l="1"/>
  <c r="AI11" i="3"/>
  <c r="AK19" i="3"/>
  <c r="AH21" i="3"/>
  <c r="AH34" i="3"/>
  <c r="AK4" i="3"/>
  <c r="AK27" i="3" s="1"/>
  <c r="AK28" i="3"/>
  <c r="AH12" i="3"/>
  <c r="AG14" i="3"/>
  <c r="AJ10" i="3"/>
  <c r="AJ18" i="3"/>
  <c r="AK17" i="3"/>
  <c r="AK8" i="3"/>
  <c r="AK31" i="3" s="1"/>
  <c r="AJ33" i="3" l="1"/>
  <c r="AJ11" i="3"/>
  <c r="AI21" i="3"/>
  <c r="AI34" i="3"/>
  <c r="AH14" i="3"/>
  <c r="AH35" i="3"/>
  <c r="AI12" i="3"/>
  <c r="AI35" i="3" s="1"/>
  <c r="AK10" i="3"/>
  <c r="AK18" i="3"/>
  <c r="AK33" i="3" l="1"/>
  <c r="AK11" i="3"/>
  <c r="AJ21" i="3"/>
  <c r="AJ34" i="3"/>
  <c r="AJ12" i="3"/>
  <c r="AI14" i="3"/>
  <c r="AK21" i="3" l="1"/>
  <c r="AK34" i="3"/>
  <c r="AJ14" i="3"/>
  <c r="AJ35" i="3"/>
  <c r="AK12" i="3"/>
  <c r="AK14" i="3" l="1"/>
  <c r="AK35" i="3"/>
  <c r="AL12" i="3"/>
  <c r="AM12" i="3" s="1"/>
  <c r="AN12" i="3" s="1"/>
  <c r="AO12" i="3" s="1"/>
  <c r="AP12" i="3" s="1"/>
  <c r="AQ12" i="3" s="1"/>
  <c r="AR12" i="3" s="1"/>
  <c r="AS12" i="3" s="1"/>
  <c r="AT12" i="3" s="1"/>
  <c r="AU12" i="3" s="1"/>
  <c r="AV12" i="3" s="1"/>
  <c r="AW12" i="3" s="1"/>
  <c r="AX12" i="3" s="1"/>
  <c r="AY12" i="3" s="1"/>
  <c r="AZ12" i="3" s="1"/>
  <c r="BA12" i="3" s="1"/>
  <c r="BB12" i="3" s="1"/>
  <c r="BC12" i="3" s="1"/>
  <c r="BD12" i="3" s="1"/>
  <c r="BE12" i="3" s="1"/>
  <c r="BF12" i="3" s="1"/>
  <c r="BG12" i="3" s="1"/>
  <c r="BH12" i="3" s="1"/>
  <c r="BI12" i="3" s="1"/>
  <c r="BJ12" i="3" s="1"/>
  <c r="BK12" i="3" s="1"/>
  <c r="BL12" i="3" s="1"/>
  <c r="BM12" i="3" s="1"/>
  <c r="BN12" i="3" s="1"/>
  <c r="BO12" i="3" s="1"/>
  <c r="BP12" i="3" s="1"/>
  <c r="BQ12" i="3" s="1"/>
  <c r="BR12" i="3" s="1"/>
  <c r="BS12" i="3" s="1"/>
  <c r="BT12" i="3" s="1"/>
  <c r="BU12" i="3" s="1"/>
  <c r="BV12" i="3" s="1"/>
  <c r="BW12" i="3" s="1"/>
  <c r="BX12" i="3" s="1"/>
  <c r="BY12" i="3" s="1"/>
  <c r="BZ12" i="3" s="1"/>
  <c r="CA12" i="3" s="1"/>
  <c r="CB12" i="3" s="1"/>
  <c r="CC12" i="3" s="1"/>
  <c r="CD12" i="3" s="1"/>
  <c r="CE12" i="3" s="1"/>
  <c r="CF12" i="3" s="1"/>
  <c r="CG12" i="3" s="1"/>
  <c r="CH12" i="3" s="1"/>
  <c r="CI12" i="3" s="1"/>
  <c r="CJ12" i="3" s="1"/>
  <c r="CK12" i="3" s="1"/>
  <c r="CL12" i="3" s="1"/>
  <c r="CM12" i="3" s="1"/>
  <c r="CN12" i="3" s="1"/>
  <c r="CO12" i="3" s="1"/>
  <c r="CP12" i="3" s="1"/>
  <c r="CQ12" i="3" s="1"/>
  <c r="CR12" i="3" s="1"/>
  <c r="CS12" i="3" s="1"/>
  <c r="CT12" i="3" s="1"/>
  <c r="CU12" i="3" s="1"/>
  <c r="CV12" i="3" s="1"/>
  <c r="CW12" i="3" s="1"/>
  <c r="CX12" i="3" s="1"/>
  <c r="CY12" i="3" s="1"/>
  <c r="CZ12" i="3" s="1"/>
  <c r="DA12" i="3" s="1"/>
  <c r="DB12" i="3" s="1"/>
  <c r="DC12" i="3" s="1"/>
  <c r="DD12" i="3" s="1"/>
  <c r="DE12" i="3" s="1"/>
  <c r="DF12" i="3" s="1"/>
  <c r="DG12" i="3" s="1"/>
  <c r="DH12" i="3" s="1"/>
  <c r="DI12" i="3" s="1"/>
  <c r="DJ12" i="3" s="1"/>
  <c r="DK12" i="3" s="1"/>
  <c r="DL12" i="3" s="1"/>
  <c r="DM12" i="3" s="1"/>
  <c r="DN12" i="3" s="1"/>
  <c r="DO12" i="3" s="1"/>
  <c r="DP12" i="3" s="1"/>
  <c r="DQ12" i="3" s="1"/>
  <c r="DR12" i="3" s="1"/>
  <c r="DS12" i="3" s="1"/>
  <c r="DT12" i="3" s="1"/>
  <c r="DU12" i="3" s="1"/>
  <c r="DV12" i="3" s="1"/>
  <c r="DW12" i="3" s="1"/>
  <c r="DX12" i="3" s="1"/>
  <c r="DY12" i="3" s="1"/>
  <c r="DZ12" i="3" s="1"/>
  <c r="EA12" i="3" s="1"/>
  <c r="EB12" i="3" s="1"/>
  <c r="EC12" i="3" s="1"/>
  <c r="ED12" i="3" s="1"/>
  <c r="EE12" i="3" s="1"/>
  <c r="EF12" i="3" s="1"/>
  <c r="EG12" i="3" s="1"/>
  <c r="EH12" i="3" s="1"/>
  <c r="EI12" i="3" s="1"/>
  <c r="EJ12" i="3" s="1"/>
  <c r="EK12" i="3" s="1"/>
  <c r="EL12" i="3" s="1"/>
  <c r="EM12" i="3" s="1"/>
  <c r="EN12" i="3" s="1"/>
  <c r="EO12" i="3" s="1"/>
  <c r="EP12" i="3" s="1"/>
  <c r="EQ12" i="3" s="1"/>
  <c r="ER12" i="3" s="1"/>
  <c r="ES12" i="3" s="1"/>
  <c r="AN20" i="3" l="1"/>
  <c r="AN22" i="3" s="1"/>
  <c r="AN23" i="3" s="1"/>
  <c r="AN25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E66455-D2D2-4D86-9607-FCC2F8818430}" keepAlive="1" name="Query - usd" description="Connection to the 'usd' query in the workbook." type="5" refreshedVersion="6" background="1" saveData="1">
    <dbPr connection="Provider=Microsoft.Mashup.OleDb.1;Data Source=$Workbook$;Location=usd;Extended Properties=&quot;&quot;" command="SELECT * FROM [usd]"/>
  </connection>
</connections>
</file>

<file path=xl/sharedStrings.xml><?xml version="1.0" encoding="utf-8"?>
<sst xmlns="http://schemas.openxmlformats.org/spreadsheetml/2006/main" count="87" uniqueCount="82">
  <si>
    <t>Price</t>
  </si>
  <si>
    <t>Shares</t>
  </si>
  <si>
    <t>MC</t>
  </si>
  <si>
    <t>Cash</t>
  </si>
  <si>
    <t>Debt</t>
  </si>
  <si>
    <t>Net Cash</t>
  </si>
  <si>
    <t>5 ADRs = 1 share</t>
  </si>
  <si>
    <t>USD/SEK</t>
  </si>
  <si>
    <t>title</t>
  </si>
  <si>
    <t>link</t>
  </si>
  <si>
    <t>description</t>
  </si>
  <si>
    <t>baseCurrency</t>
  </si>
  <si>
    <t>pubDate</t>
  </si>
  <si>
    <t>USD</t>
  </si>
  <si>
    <t>baseName</t>
  </si>
  <si>
    <t>targetCurrency</t>
  </si>
  <si>
    <t>targetName</t>
  </si>
  <si>
    <t>exchangeRate</t>
  </si>
  <si>
    <t>inverseRate</t>
  </si>
  <si>
    <t>inverseDescription</t>
  </si>
  <si>
    <t>http://www.floatrates.com/usd/sek/</t>
  </si>
  <si>
    <t>U.S. Dollar</t>
  </si>
  <si>
    <t>SEK</t>
  </si>
  <si>
    <t>Swedish Krona</t>
  </si>
  <si>
    <t>MC $</t>
  </si>
  <si>
    <t>Cash $</t>
  </si>
  <si>
    <t>Debt $</t>
  </si>
  <si>
    <t>Net Cash $</t>
  </si>
  <si>
    <t>EV $</t>
  </si>
  <si>
    <t>Time last checked</t>
  </si>
  <si>
    <t>Today</t>
  </si>
  <si>
    <t>Earnings</t>
  </si>
  <si>
    <t>Q320</t>
  </si>
  <si>
    <t>Revenue</t>
  </si>
  <si>
    <t>Q118</t>
  </si>
  <si>
    <t>Q218</t>
  </si>
  <si>
    <t>Q318</t>
  </si>
  <si>
    <t>Q418</t>
  </si>
  <si>
    <t>Q119</t>
  </si>
  <si>
    <t>Q219</t>
  </si>
  <si>
    <t>Q319</t>
  </si>
  <si>
    <t>Q419</t>
  </si>
  <si>
    <t>Q120</t>
  </si>
  <si>
    <t>Q220</t>
  </si>
  <si>
    <t>Q420</t>
  </si>
  <si>
    <t>Cost of sales</t>
  </si>
  <si>
    <t>Gross profit</t>
  </si>
  <si>
    <t>Selling expenses</t>
  </si>
  <si>
    <t>Administrative expenses</t>
  </si>
  <si>
    <t>Operating profit</t>
  </si>
  <si>
    <t>Net finance expense</t>
  </si>
  <si>
    <t>Pretax profit</t>
  </si>
  <si>
    <t>Taxes</t>
  </si>
  <si>
    <t>Net profit</t>
  </si>
  <si>
    <t>EPS</t>
  </si>
  <si>
    <t>Q117</t>
  </si>
  <si>
    <t>Q217</t>
  </si>
  <si>
    <t>Q317</t>
  </si>
  <si>
    <t>Q417</t>
  </si>
  <si>
    <t>Revenue y/y</t>
  </si>
  <si>
    <t>Gross Margin</t>
  </si>
  <si>
    <t>Operating Margin</t>
  </si>
  <si>
    <t>Selling Margin</t>
  </si>
  <si>
    <t>Administrative y/y</t>
  </si>
  <si>
    <t>Maturity</t>
  </si>
  <si>
    <t>Discount rate</t>
  </si>
  <si>
    <t>NPV</t>
  </si>
  <si>
    <t>Net cash</t>
  </si>
  <si>
    <t>Value</t>
  </si>
  <si>
    <t>Per share</t>
  </si>
  <si>
    <t>Current price</t>
  </si>
  <si>
    <t>Variance</t>
  </si>
  <si>
    <t>Consensus</t>
  </si>
  <si>
    <t>Slightly overvalued</t>
  </si>
  <si>
    <t>1 USD = 8.41719671 SEK</t>
  </si>
  <si>
    <t>1 U.S. Dollar = 8.41719671 Swedish Krona</t>
  </si>
  <si>
    <t>1 Swedish Krona = 0.11880440 U.S. Dollar</t>
  </si>
  <si>
    <t>Q121</t>
  </si>
  <si>
    <t>Q221</t>
  </si>
  <si>
    <t>Q321</t>
  </si>
  <si>
    <t>Q421</t>
  </si>
  <si>
    <t>HNNMY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</si>
</sst>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SEK]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0" fillId="0" borderId="0" xfId="0" applyNumberFormat="1"/>
    <xf numFmtId="3" fontId="0" fillId="0" borderId="0" xfId="0" applyNumberFormat="1"/>
    <xf numFmtId="0" fontId="0" fillId="0" borderId="0" xfId="0" applyNumberFormat="1"/>
    <xf numFmtId="22" fontId="0" fillId="0" borderId="0" xfId="0" applyNumberFormat="1"/>
    <xf numFmtId="14" fontId="0" fillId="0" borderId="0" xfId="0" applyNumberFormat="1"/>
    <xf numFmtId="0" fontId="3" fillId="0" borderId="0" xfId="0" applyFont="1" applyAlignment="1">
      <alignment horizontal="right"/>
    </xf>
    <xf numFmtId="14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" fontId="1" fillId="0" borderId="0" xfId="0" applyNumberFormat="1" applyFont="1"/>
    <xf numFmtId="9" fontId="0" fillId="0" borderId="0" xfId="0" applyNumberFormat="1"/>
    <xf numFmtId="0" fontId="0" fillId="0" borderId="0" xfId="0" applyFont="1"/>
    <xf numFmtId="9" fontId="0" fillId="0" borderId="0" xfId="0" applyNumberFormat="1" applyFont="1"/>
    <xf numFmtId="3" fontId="1" fillId="0" borderId="0" xfId="0" applyNumberFormat="1" applyFont="1"/>
    <xf numFmtId="3" fontId="0" fillId="0" borderId="0" xfId="0" applyNumberFormat="1" applyFont="1"/>
    <xf numFmtId="9" fontId="1" fillId="0" borderId="0" xfId="0" applyNumberFormat="1" applyFon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22860</xdr:colOff>
      <xdr:row>0</xdr:row>
      <xdr:rowOff>0</xdr:rowOff>
    </xdr:from>
    <xdr:to>
      <xdr:col>19</xdr:col>
      <xdr:colOff>22860</xdr:colOff>
      <xdr:row>33</xdr:row>
      <xdr:rowOff>83820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34DB04B-3E9C-40AB-A62F-5690986513D2}"/>
            </a:ext>
          </a:extLst>
        </xdr:cNvPr>
        <xdr:cNvCxnSpPr/>
      </xdr:nvCxnSpPr>
      <xdr:spPr>
        <a:xfrm>
          <a:off x="14363700" y="0"/>
          <a:ext cx="0" cy="6118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22860</xdr:colOff>
      <xdr:row>0</xdr:row>
      <xdr:rowOff>0</xdr:rowOff>
    </xdr:from>
    <xdr:to>
      <xdr:col>28</xdr:col>
      <xdr:colOff>22860</xdr:colOff>
      <xdr:row>35</xdr:row>
      <xdr:rowOff>160020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567F5997-ACE4-4BBD-834C-C087C031E52E}"/>
            </a:ext>
          </a:extLst>
        </xdr:cNvPr>
        <xdr:cNvCxnSpPr/>
      </xdr:nvCxnSpPr>
      <xdr:spPr>
        <a:xfrm>
          <a:off x="20193000" y="0"/>
          <a:ext cx="0" cy="65608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A0404A-8D0D-4305-91F2-5566EA9A00EF}" autoFormatId="16" applyNumberFormats="0" applyBorderFormats="0" applyFontFormats="0" applyPatternFormats="0" applyAlignmentFormats="0" applyWidthHeightFormats="0">
  <queryTableRefresh nextId="16">
    <queryTableFields count="11">
      <queryTableField id="1" name="title" tableColumnId="9"/>
      <queryTableField id="2" name="link" tableColumnId="2"/>
      <queryTableField id="4" name="description" tableColumnId="4"/>
      <queryTableField id="7" name="pubDate" tableColumnId="7"/>
      <queryTableField id="6" name="baseCurrency" tableColumnId="6"/>
      <queryTableField id="9" name="baseName" tableColumnId="10"/>
      <queryTableField id="10" name="targetCurrency" tableColumnId="11"/>
      <queryTableField id="11" name="targetName" tableColumnId="12"/>
      <queryTableField id="12" name="exchangeRate" tableColumnId="13"/>
      <queryTableField id="13" name="inverseRate" tableColumnId="14"/>
      <queryTableField id="14" name="inverseDescription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A5E8F1-CB9F-4035-8A26-E6D11CB7653A}" name="usd" displayName="usd" ref="A1:K2" tableType="queryTable" totalsRowShown="0">
  <autoFilter ref="A1:K2" xr:uid="{0336932C-FBFF-485D-BB41-E554DA0EAA1C}"/>
  <tableColumns count="11">
    <tableColumn id="9" xr3:uid="{2280D893-952D-408E-9C12-2C0C4120AD2A}" uniqueName="9" name="title" queryTableFieldId="1" dataDxfId="8"/>
    <tableColumn id="2" xr3:uid="{C096D357-FF30-49EE-AD20-B042E47993A3}" uniqueName="2" name="link" queryTableFieldId="2" dataDxfId="7"/>
    <tableColumn id="4" xr3:uid="{F47B3D69-AB01-4037-8C87-C457CCE28496}" uniqueName="4" name="description" queryTableFieldId="4" dataDxfId="6"/>
    <tableColumn id="7" xr3:uid="{BD7C35DB-C1C6-4530-90BD-900A007584EA}" uniqueName="7" name="pubDate" queryTableFieldId="7" dataDxfId="5"/>
    <tableColumn id="6" xr3:uid="{3E773722-4C01-4E57-AEC7-091B6830B907}" uniqueName="6" name="baseCurrency" queryTableFieldId="6" dataDxfId="4"/>
    <tableColumn id="10" xr3:uid="{EBA56D1B-1BCE-42D6-A389-C9005295063C}" uniqueName="10" name="baseName" queryTableFieldId="9" dataDxfId="3"/>
    <tableColumn id="11" xr3:uid="{F213E42D-BE78-41F3-A575-81A917EC9976}" uniqueName="11" name="targetCurrency" queryTableFieldId="10" dataDxfId="2"/>
    <tableColumn id="12" xr3:uid="{17B0A34A-DAFC-4D10-A36C-DAD95CF916C9}" uniqueName="12" name="targetName" queryTableFieldId="11" dataDxfId="1"/>
    <tableColumn id="13" xr3:uid="{A9AFD775-A8DF-4908-BB27-E9B84D00D117}" uniqueName="13" name="exchangeRate" queryTableFieldId="12"/>
    <tableColumn id="14" xr3:uid="{72384E0F-EDAE-41F2-9197-B9C4B61E7265}" uniqueName="14" name="inverseRate" queryTableFieldId="13"/>
    <tableColumn id="15" xr3:uid="{234625A5-C478-46D7-A5FE-84A8F33A9848}" uniqueName="15" name="inverseDescription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333C5-3AE1-4F11-8EEE-782977B52DA4}">
  <dimension ref="B2:G19"/>
  <sheetViews>
    <sheetView workbookViewId="0">
      <selection activeCell="D12" sqref="D12"/>
    </sheetView>
  </sheetViews>
  <sheetFormatPr defaultRowHeight="14.4" x14ac:dyDescent="0.3"/>
  <cols>
    <col min="3" max="3" width="9.44140625" customWidth="1"/>
    <col min="4" max="4" width="9.88671875" bestFit="1" customWidth="1"/>
    <col min="5" max="7" width="15.77734375" style="7" customWidth="1"/>
  </cols>
  <sheetData>
    <row r="2" spans="2:7" x14ac:dyDescent="0.3">
      <c r="E2" s="7" t="s">
        <v>29</v>
      </c>
      <c r="F2" s="7" t="s">
        <v>30</v>
      </c>
      <c r="G2" s="7" t="s">
        <v>31</v>
      </c>
    </row>
    <row r="3" spans="2:7" x14ac:dyDescent="0.3">
      <c r="B3" s="1" t="s">
        <v>81</v>
      </c>
      <c r="C3" t="s">
        <v>0</v>
      </c>
      <c r="D3" s="2">
        <v>195.4</v>
      </c>
      <c r="E3" s="8">
        <v>44289</v>
      </c>
      <c r="F3" s="8">
        <f ca="1">TODAY()</f>
        <v>44289</v>
      </c>
      <c r="G3" s="8">
        <v>44362</v>
      </c>
    </row>
    <row r="4" spans="2:7" x14ac:dyDescent="0.3">
      <c r="C4" t="s">
        <v>1</v>
      </c>
      <c r="D4" s="3">
        <v>1655.1</v>
      </c>
      <c r="E4" s="7" t="s">
        <v>77</v>
      </c>
    </row>
    <row r="5" spans="2:7" x14ac:dyDescent="0.3">
      <c r="C5" t="s">
        <v>2</v>
      </c>
      <c r="D5" s="3">
        <f>D3*D4</f>
        <v>323406.53999999998</v>
      </c>
    </row>
    <row r="6" spans="2:7" x14ac:dyDescent="0.3">
      <c r="C6" t="s">
        <v>3</v>
      </c>
      <c r="D6" s="3">
        <v>17304</v>
      </c>
      <c r="E6" s="7" t="s">
        <v>77</v>
      </c>
    </row>
    <row r="7" spans="2:7" x14ac:dyDescent="0.3">
      <c r="C7" t="s">
        <v>4</v>
      </c>
      <c r="D7" s="3">
        <f>62053+14425</f>
        <v>76478</v>
      </c>
      <c r="E7" s="7" t="s">
        <v>77</v>
      </c>
    </row>
    <row r="8" spans="2:7" x14ac:dyDescent="0.3">
      <c r="C8" t="s">
        <v>5</v>
      </c>
      <c r="D8" s="3">
        <f>D6-D7</f>
        <v>-59174</v>
      </c>
    </row>
    <row r="9" spans="2:7" x14ac:dyDescent="0.3">
      <c r="C9" t="s">
        <v>24</v>
      </c>
      <c r="D9" s="3">
        <f>D5/D19</f>
        <v>38422.119755830201</v>
      </c>
    </row>
    <row r="10" spans="2:7" x14ac:dyDescent="0.3">
      <c r="C10" t="s">
        <v>25</v>
      </c>
      <c r="D10" s="3">
        <f>D6/D19</f>
        <v>2055.791327704399</v>
      </c>
    </row>
    <row r="11" spans="2:7" x14ac:dyDescent="0.3">
      <c r="C11" t="s">
        <v>26</v>
      </c>
      <c r="D11" s="3">
        <f>D7/D19</f>
        <v>9085.922859464692</v>
      </c>
    </row>
    <row r="12" spans="2:7" x14ac:dyDescent="0.3">
      <c r="C12" t="s">
        <v>27</v>
      </c>
      <c r="D12" s="3">
        <f>D10-D11</f>
        <v>-7030.131531760293</v>
      </c>
    </row>
    <row r="13" spans="2:7" x14ac:dyDescent="0.3">
      <c r="C13" t="s">
        <v>28</v>
      </c>
      <c r="D13" s="3">
        <f>D9-D12</f>
        <v>45452.251287590494</v>
      </c>
    </row>
    <row r="17" spans="3:4" x14ac:dyDescent="0.3">
      <c r="C17" t="s">
        <v>6</v>
      </c>
    </row>
    <row r="19" spans="3:4" x14ac:dyDescent="0.3">
      <c r="C19" t="s">
        <v>7</v>
      </c>
      <c r="D19">
        <f>usd[exchangeRate]</f>
        <v>8.4171967100000007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186B-28F1-408F-B5A0-173523FAF9F5}">
  <dimension ref="B1:ES42"/>
  <sheetViews>
    <sheetView tabSelected="1" workbookViewId="0">
      <pane xSplit="2" ySplit="2" topLeftCell="P3" activePane="bottomRight" state="frozen"/>
      <selection pane="topRight" activeCell="C1" sqref="C1"/>
      <selection pane="bottomLeft" activeCell="A3" sqref="A3"/>
      <selection pane="bottomRight" activeCell="V5" sqref="V5"/>
    </sheetView>
  </sheetViews>
  <sheetFormatPr defaultRowHeight="14.4" x14ac:dyDescent="0.3"/>
  <cols>
    <col min="2" max="2" width="20.77734375" bestFit="1" customWidth="1"/>
    <col min="3" max="22" width="10.5546875" customWidth="1"/>
    <col min="29" max="29" width="8.88671875" customWidth="1"/>
    <col min="39" max="39" width="12" bestFit="1" customWidth="1"/>
    <col min="40" max="40" width="16.44140625" bestFit="1" customWidth="1"/>
  </cols>
  <sheetData>
    <row r="1" spans="2:149" x14ac:dyDescent="0.3">
      <c r="C1" s="6">
        <v>42794</v>
      </c>
      <c r="D1" s="6">
        <v>42886</v>
      </c>
      <c r="E1" s="6">
        <v>42978</v>
      </c>
      <c r="F1" s="6">
        <v>43069</v>
      </c>
      <c r="G1" s="6">
        <v>43159</v>
      </c>
      <c r="H1" s="6">
        <v>43251</v>
      </c>
      <c r="I1" s="6">
        <v>43343</v>
      </c>
      <c r="J1" s="6">
        <v>43434</v>
      </c>
      <c r="K1" s="6">
        <v>43524</v>
      </c>
      <c r="L1" s="6">
        <v>43616</v>
      </c>
      <c r="M1" s="6">
        <v>43708</v>
      </c>
      <c r="N1" s="6">
        <v>43799</v>
      </c>
      <c r="O1" s="6">
        <v>43890</v>
      </c>
      <c r="P1" s="6">
        <v>43982</v>
      </c>
      <c r="Q1" s="6">
        <v>44074</v>
      </c>
      <c r="R1" s="6">
        <v>44165</v>
      </c>
      <c r="S1" s="6">
        <v>44255</v>
      </c>
      <c r="T1" s="6">
        <v>44347</v>
      </c>
      <c r="U1" s="6">
        <v>44439</v>
      </c>
      <c r="V1" s="6">
        <v>44530</v>
      </c>
    </row>
    <row r="2" spans="2:149" x14ac:dyDescent="0.3">
      <c r="C2" s="9" t="s">
        <v>55</v>
      </c>
      <c r="D2" s="9" t="s">
        <v>56</v>
      </c>
      <c r="E2" s="9" t="s">
        <v>57</v>
      </c>
      <c r="F2" s="9" t="s">
        <v>58</v>
      </c>
      <c r="G2" s="9" t="s">
        <v>34</v>
      </c>
      <c r="H2" s="9" t="s">
        <v>35</v>
      </c>
      <c r="I2" s="9" t="s">
        <v>36</v>
      </c>
      <c r="J2" s="9" t="s">
        <v>37</v>
      </c>
      <c r="K2" s="9" t="s">
        <v>38</v>
      </c>
      <c r="L2" s="9" t="s">
        <v>39</v>
      </c>
      <c r="M2" s="9" t="s">
        <v>40</v>
      </c>
      <c r="N2" s="9" t="s">
        <v>41</v>
      </c>
      <c r="O2" s="9" t="s">
        <v>42</v>
      </c>
      <c r="P2" s="9" t="s">
        <v>43</v>
      </c>
      <c r="Q2" s="9" t="s">
        <v>32</v>
      </c>
      <c r="R2" s="9" t="s">
        <v>44</v>
      </c>
      <c r="S2" s="9" t="s">
        <v>77</v>
      </c>
      <c r="T2" s="9" t="s">
        <v>78</v>
      </c>
      <c r="U2" s="9" t="s">
        <v>79</v>
      </c>
      <c r="V2" s="9" t="s">
        <v>80</v>
      </c>
      <c r="X2">
        <v>2017</v>
      </c>
      <c r="Y2">
        <v>2018</v>
      </c>
      <c r="Z2">
        <v>2019</v>
      </c>
      <c r="AA2">
        <v>2020</v>
      </c>
      <c r="AB2">
        <v>2021</v>
      </c>
      <c r="AC2">
        <v>2022</v>
      </c>
      <c r="AD2">
        <v>2023</v>
      </c>
      <c r="AE2">
        <v>2024</v>
      </c>
      <c r="AF2">
        <v>2025</v>
      </c>
      <c r="AG2">
        <v>2026</v>
      </c>
      <c r="AH2">
        <v>2027</v>
      </c>
      <c r="AI2">
        <v>2028</v>
      </c>
      <c r="AJ2">
        <v>2029</v>
      </c>
      <c r="AK2">
        <v>2030</v>
      </c>
    </row>
    <row r="3" spans="2:149" s="1" customFormat="1" x14ac:dyDescent="0.3">
      <c r="B3" s="1" t="s">
        <v>33</v>
      </c>
      <c r="C3" s="14">
        <v>46985</v>
      </c>
      <c r="D3" s="14">
        <v>51383</v>
      </c>
      <c r="E3" s="14">
        <v>51229</v>
      </c>
      <c r="F3" s="14">
        <v>50407</v>
      </c>
      <c r="G3" s="14">
        <v>46181</v>
      </c>
      <c r="H3" s="14">
        <v>51984</v>
      </c>
      <c r="I3" s="14">
        <v>55821</v>
      </c>
      <c r="J3" s="14">
        <v>56414</v>
      </c>
      <c r="K3" s="14">
        <v>51015</v>
      </c>
      <c r="L3" s="14">
        <v>57474</v>
      </c>
      <c r="M3" s="14">
        <v>62572</v>
      </c>
      <c r="N3" s="14">
        <v>61694</v>
      </c>
      <c r="O3" s="14">
        <v>54948</v>
      </c>
      <c r="P3" s="14">
        <v>28664</v>
      </c>
      <c r="Q3" s="14">
        <v>50870</v>
      </c>
      <c r="R3" s="14">
        <v>52549</v>
      </c>
      <c r="S3" s="14">
        <v>40060</v>
      </c>
      <c r="T3" s="14">
        <f>P3*1.7</f>
        <v>48728.799999999996</v>
      </c>
      <c r="U3" s="14">
        <f>Q3*1.07</f>
        <v>54430.9</v>
      </c>
      <c r="V3" s="14">
        <f>R3*1.08</f>
        <v>56752.920000000006</v>
      </c>
      <c r="X3" s="14">
        <f>SUM(C3:F3)</f>
        <v>200004</v>
      </c>
      <c r="Y3" s="14">
        <f>SUM(G3:J3)</f>
        <v>210400</v>
      </c>
      <c r="Z3" s="14">
        <f>SUM(K3:N3)</f>
        <v>232755</v>
      </c>
      <c r="AA3" s="14">
        <f>SUM(O3:R3)</f>
        <v>187031</v>
      </c>
      <c r="AB3" s="14">
        <f>SUM(S3:V3)</f>
        <v>199972.62</v>
      </c>
      <c r="AC3" s="14">
        <f>AB3*1.1</f>
        <v>219969.88200000001</v>
      </c>
      <c r="AD3" s="14">
        <f>AC3*1.08</f>
        <v>237567.47256000002</v>
      </c>
      <c r="AE3" s="14">
        <f>AD3*1.05</f>
        <v>249445.84618800002</v>
      </c>
      <c r="AF3" s="14">
        <f>AE3*1.04</f>
        <v>259423.68003552002</v>
      </c>
      <c r="AG3" s="14">
        <f t="shared" ref="AG3:AK3" si="0">AF3*1.03</f>
        <v>267206.39043658564</v>
      </c>
      <c r="AH3" s="14">
        <f t="shared" si="0"/>
        <v>275222.58214968321</v>
      </c>
      <c r="AI3" s="14">
        <f>AH3*1.02</f>
        <v>280727.03379267687</v>
      </c>
      <c r="AJ3" s="14">
        <f t="shared" ref="AJ3:AK3" si="1">AI3*1.02</f>
        <v>286341.57446853042</v>
      </c>
      <c r="AK3" s="14">
        <f t="shared" si="1"/>
        <v>292068.40595790104</v>
      </c>
    </row>
    <row r="4" spans="2:149" x14ac:dyDescent="0.3">
      <c r="B4" t="s">
        <v>45</v>
      </c>
      <c r="C4" s="3">
        <v>22519</v>
      </c>
      <c r="D4" s="3">
        <v>22038</v>
      </c>
      <c r="E4" s="3">
        <v>24879</v>
      </c>
      <c r="F4" s="3">
        <v>22478</v>
      </c>
      <c r="G4" s="3">
        <v>23141</v>
      </c>
      <c r="H4" s="3">
        <v>22820</v>
      </c>
      <c r="I4" s="3">
        <v>27730</v>
      </c>
      <c r="J4" s="3">
        <v>25822</v>
      </c>
      <c r="K4" s="3">
        <v>25489</v>
      </c>
      <c r="L4" s="3">
        <v>25649</v>
      </c>
      <c r="M4" s="3">
        <v>30575</v>
      </c>
      <c r="N4" s="3">
        <v>28407</v>
      </c>
      <c r="O4" s="3">
        <v>26914</v>
      </c>
      <c r="P4" s="3">
        <v>15380</v>
      </c>
      <c r="Q4" s="3">
        <v>26019</v>
      </c>
      <c r="R4" s="3">
        <v>25174</v>
      </c>
      <c r="S4" s="3">
        <v>21003</v>
      </c>
      <c r="T4" s="3">
        <f t="shared" ref="T4:V4" si="2">T3-T5</f>
        <v>22415.247999999996</v>
      </c>
      <c r="U4" s="3">
        <f t="shared" si="2"/>
        <v>26671.141</v>
      </c>
      <c r="V4" s="3">
        <f t="shared" si="2"/>
        <v>26673.8724</v>
      </c>
      <c r="X4" s="15">
        <f>SUM(C4:F4)</f>
        <v>91914</v>
      </c>
      <c r="Y4" s="15">
        <f>SUM(G4:J4)</f>
        <v>99513</v>
      </c>
      <c r="Z4" s="15">
        <f>SUM(K4:N4)</f>
        <v>110120</v>
      </c>
      <c r="AA4" s="15">
        <f>SUM(O4:R4)</f>
        <v>93487</v>
      </c>
      <c r="AB4" s="15">
        <f>SUM(S4:V4)</f>
        <v>96763.261399999988</v>
      </c>
      <c r="AC4" s="3">
        <f t="shared" ref="AC4:AK4" si="3">AC3-AC5</f>
        <v>103385.84454000001</v>
      </c>
      <c r="AD4" s="3">
        <f t="shared" si="3"/>
        <v>111656.7121032</v>
      </c>
      <c r="AE4" s="3">
        <f t="shared" si="3"/>
        <v>117239.54770836001</v>
      </c>
      <c r="AF4" s="3">
        <f t="shared" si="3"/>
        <v>121929.12961669441</v>
      </c>
      <c r="AG4" s="3">
        <f t="shared" si="3"/>
        <v>122914.93960082938</v>
      </c>
      <c r="AH4" s="3">
        <f t="shared" si="3"/>
        <v>126602.38778885428</v>
      </c>
      <c r="AI4" s="3">
        <f t="shared" si="3"/>
        <v>129134.43554463136</v>
      </c>
      <c r="AJ4" s="3">
        <f t="shared" si="3"/>
        <v>131717.12425552399</v>
      </c>
      <c r="AK4" s="3">
        <f t="shared" si="3"/>
        <v>134351.46674063447</v>
      </c>
    </row>
    <row r="5" spans="2:149" s="1" customFormat="1" x14ac:dyDescent="0.3">
      <c r="B5" s="1" t="s">
        <v>46</v>
      </c>
      <c r="C5" s="14">
        <f t="shared" ref="C5:S5" si="4">C3-C4</f>
        <v>24466</v>
      </c>
      <c r="D5" s="14">
        <f t="shared" si="4"/>
        <v>29345</v>
      </c>
      <c r="E5" s="14">
        <f t="shared" si="4"/>
        <v>26350</v>
      </c>
      <c r="F5" s="14">
        <f t="shared" si="4"/>
        <v>27929</v>
      </c>
      <c r="G5" s="14">
        <f t="shared" si="4"/>
        <v>23040</v>
      </c>
      <c r="H5" s="14">
        <f t="shared" si="4"/>
        <v>29164</v>
      </c>
      <c r="I5" s="14">
        <f t="shared" si="4"/>
        <v>28091</v>
      </c>
      <c r="J5" s="14">
        <f t="shared" si="4"/>
        <v>30592</v>
      </c>
      <c r="K5" s="14">
        <f t="shared" si="4"/>
        <v>25526</v>
      </c>
      <c r="L5" s="14">
        <f t="shared" si="4"/>
        <v>31825</v>
      </c>
      <c r="M5" s="14">
        <f t="shared" si="4"/>
        <v>31997</v>
      </c>
      <c r="N5" s="14">
        <f t="shared" si="4"/>
        <v>33287</v>
      </c>
      <c r="O5" s="14">
        <f t="shared" si="4"/>
        <v>28034</v>
      </c>
      <c r="P5" s="14">
        <f t="shared" si="4"/>
        <v>13284</v>
      </c>
      <c r="Q5" s="14">
        <f t="shared" si="4"/>
        <v>24851</v>
      </c>
      <c r="R5" s="14">
        <f t="shared" si="4"/>
        <v>27375</v>
      </c>
      <c r="S5" s="14">
        <f t="shared" si="4"/>
        <v>19057</v>
      </c>
      <c r="T5" s="14">
        <f>T3*0.54</f>
        <v>26313.552</v>
      </c>
      <c r="U5" s="14">
        <f>U3*0.51</f>
        <v>27759.759000000002</v>
      </c>
      <c r="V5" s="14">
        <f>V3*0.53</f>
        <v>30079.047600000005</v>
      </c>
      <c r="X5" s="14">
        <f t="shared" ref="X5:AB5" si="5">X3-X4</f>
        <v>108090</v>
      </c>
      <c r="Y5" s="14">
        <f t="shared" si="5"/>
        <v>110887</v>
      </c>
      <c r="Z5" s="14">
        <f t="shared" si="5"/>
        <v>122635</v>
      </c>
      <c r="AA5" s="14">
        <f t="shared" si="5"/>
        <v>93544</v>
      </c>
      <c r="AB5" s="14">
        <f t="shared" si="5"/>
        <v>103209.35860000001</v>
      </c>
      <c r="AC5" s="14">
        <f>AC3*0.53</f>
        <v>116584.03746000001</v>
      </c>
      <c r="AD5" s="14">
        <f>AD3*0.53</f>
        <v>125910.76045680002</v>
      </c>
      <c r="AE5" s="14">
        <f>AE3*0.53</f>
        <v>132206.29847964001</v>
      </c>
      <c r="AF5" s="14">
        <f t="shared" ref="AF5" si="6">AF3*0.53</f>
        <v>137494.55041882562</v>
      </c>
      <c r="AG5" s="14">
        <f>AG3*0.54</f>
        <v>144291.45083575626</v>
      </c>
      <c r="AH5" s="14">
        <f t="shared" ref="AH5:AK5" si="7">AH3*0.54</f>
        <v>148620.19436082893</v>
      </c>
      <c r="AI5" s="14">
        <f t="shared" si="7"/>
        <v>151592.59824804551</v>
      </c>
      <c r="AJ5" s="14">
        <f t="shared" si="7"/>
        <v>154624.45021300644</v>
      </c>
      <c r="AK5" s="14">
        <f t="shared" si="7"/>
        <v>157716.93921726657</v>
      </c>
    </row>
    <row r="6" spans="2:149" x14ac:dyDescent="0.3">
      <c r="B6" t="s">
        <v>47</v>
      </c>
      <c r="C6" s="3">
        <v>19553</v>
      </c>
      <c r="D6" s="3">
        <v>19924</v>
      </c>
      <c r="E6" s="3">
        <v>19756</v>
      </c>
      <c r="F6" s="3">
        <v>21194</v>
      </c>
      <c r="G6" s="3">
        <v>19976</v>
      </c>
      <c r="H6" s="3">
        <v>21095</v>
      </c>
      <c r="I6" s="3">
        <v>22192</v>
      </c>
      <c r="J6" s="3">
        <v>24249</v>
      </c>
      <c r="K6" s="3">
        <v>22423</v>
      </c>
      <c r="L6" s="3">
        <v>23653</v>
      </c>
      <c r="M6" s="3">
        <v>24659</v>
      </c>
      <c r="N6" s="3">
        <v>25544</v>
      </c>
      <c r="O6" s="3">
        <v>23028</v>
      </c>
      <c r="P6" s="3">
        <v>17238</v>
      </c>
      <c r="Q6" s="3">
        <v>20040</v>
      </c>
      <c r="R6" s="3">
        <v>21119</v>
      </c>
      <c r="S6" s="3">
        <v>18041</v>
      </c>
      <c r="T6" s="3">
        <f>T3*0.4</f>
        <v>19491.52</v>
      </c>
      <c r="U6" s="3">
        <f>U3*0.4</f>
        <v>21772.36</v>
      </c>
      <c r="V6" s="3">
        <f>V3*0.41</f>
        <v>23268.697200000002</v>
      </c>
      <c r="X6" s="15">
        <f>SUM(C6:F6)</f>
        <v>80427</v>
      </c>
      <c r="Y6" s="15">
        <f>SUM(G6:J6)</f>
        <v>87512</v>
      </c>
      <c r="Z6" s="15">
        <f>SUM(K6:N6)</f>
        <v>96279</v>
      </c>
      <c r="AA6" s="15">
        <f>SUM(O6:R6)</f>
        <v>81425</v>
      </c>
      <c r="AB6" s="15">
        <f>SUM(S6:V6)</f>
        <v>82573.5772</v>
      </c>
      <c r="AC6" s="3">
        <f>AC3*0.41</f>
        <v>90187.651620000004</v>
      </c>
      <c r="AD6" s="3">
        <f t="shared" ref="AD6" si="8">AD3*0.41</f>
        <v>97402.663749600004</v>
      </c>
      <c r="AE6" s="3">
        <f>AE3*0.4</f>
        <v>99778.338475200013</v>
      </c>
      <c r="AF6" s="3">
        <f t="shared" ref="AF6:AK6" si="9">AF3*0.4</f>
        <v>103769.47201420802</v>
      </c>
      <c r="AG6" s="3">
        <f t="shared" si="9"/>
        <v>106882.55617463426</v>
      </c>
      <c r="AH6" s="3">
        <f t="shared" si="9"/>
        <v>110089.03285987329</v>
      </c>
      <c r="AI6" s="3">
        <f t="shared" si="9"/>
        <v>112290.81351707075</v>
      </c>
      <c r="AJ6" s="3">
        <f t="shared" si="9"/>
        <v>114536.62978741218</v>
      </c>
      <c r="AK6" s="3">
        <f t="shared" si="9"/>
        <v>116827.36238316042</v>
      </c>
    </row>
    <row r="7" spans="2:149" x14ac:dyDescent="0.3">
      <c r="B7" t="s">
        <v>48</v>
      </c>
      <c r="C7" s="3">
        <v>1754</v>
      </c>
      <c r="D7" s="3">
        <v>1771</v>
      </c>
      <c r="E7" s="3">
        <v>1655</v>
      </c>
      <c r="F7" s="3">
        <v>1914</v>
      </c>
      <c r="G7" s="3">
        <v>1856</v>
      </c>
      <c r="H7" s="3">
        <v>2062</v>
      </c>
      <c r="I7" s="3">
        <v>1923</v>
      </c>
      <c r="J7" s="3">
        <v>2041</v>
      </c>
      <c r="K7" s="3">
        <v>2098</v>
      </c>
      <c r="L7" s="3">
        <v>2237</v>
      </c>
      <c r="M7" s="3">
        <v>2127</v>
      </c>
      <c r="N7" s="3">
        <v>2366</v>
      </c>
      <c r="O7" s="3">
        <v>2316</v>
      </c>
      <c r="P7" s="3">
        <v>2234</v>
      </c>
      <c r="Q7" s="3">
        <v>2111</v>
      </c>
      <c r="R7" s="3">
        <v>2359</v>
      </c>
      <c r="S7" s="3">
        <v>2144</v>
      </c>
      <c r="T7" s="3">
        <f>P7*1.05</f>
        <v>2345.7000000000003</v>
      </c>
      <c r="U7" s="3">
        <f>Q7*1.15</f>
        <v>2427.6499999999996</v>
      </c>
      <c r="V7" s="3">
        <f t="shared" ref="V7" si="10">R7*1.05</f>
        <v>2476.9500000000003</v>
      </c>
      <c r="X7" s="15">
        <f>SUM(C7:F7)</f>
        <v>7094</v>
      </c>
      <c r="Y7" s="15">
        <f>SUM(G7:J7)</f>
        <v>7882</v>
      </c>
      <c r="Z7" s="15">
        <f>SUM(K7:N7)</f>
        <v>8828</v>
      </c>
      <c r="AA7" s="15">
        <f>SUM(O7:R7)</f>
        <v>9020</v>
      </c>
      <c r="AB7" s="15">
        <f>SUM(S7:V7)</f>
        <v>9394.3000000000011</v>
      </c>
      <c r="AC7" s="3">
        <f t="shared" ref="AC7:AE7" si="11">AB7*1.05</f>
        <v>9864.0150000000012</v>
      </c>
      <c r="AD7" s="3">
        <f t="shared" si="11"/>
        <v>10357.215750000001</v>
      </c>
      <c r="AE7" s="3">
        <f t="shared" si="11"/>
        <v>10875.076537500001</v>
      </c>
      <c r="AF7" s="3">
        <f>AE7*1.03</f>
        <v>11201.328833625001</v>
      </c>
      <c r="AG7" s="3">
        <f t="shared" ref="AG7:AK7" si="12">AF7*1.03</f>
        <v>11537.368698633751</v>
      </c>
      <c r="AH7" s="3">
        <f t="shared" si="12"/>
        <v>11883.489759592763</v>
      </c>
      <c r="AI7" s="3">
        <f t="shared" si="12"/>
        <v>12239.994452380546</v>
      </c>
      <c r="AJ7" s="3">
        <f t="shared" si="12"/>
        <v>12607.194285951962</v>
      </c>
      <c r="AK7" s="3">
        <f t="shared" si="12"/>
        <v>12985.410114530521</v>
      </c>
    </row>
    <row r="8" spans="2:149" s="1" customFormat="1" x14ac:dyDescent="0.3">
      <c r="B8" s="1" t="s">
        <v>49</v>
      </c>
      <c r="C8" s="14">
        <f t="shared" ref="C8:V8" si="13">C5-C6-C7</f>
        <v>3159</v>
      </c>
      <c r="D8" s="14">
        <f t="shared" si="13"/>
        <v>7650</v>
      </c>
      <c r="E8" s="14">
        <f t="shared" si="13"/>
        <v>4939</v>
      </c>
      <c r="F8" s="14">
        <f t="shared" si="13"/>
        <v>4821</v>
      </c>
      <c r="G8" s="14">
        <f t="shared" si="13"/>
        <v>1208</v>
      </c>
      <c r="H8" s="14">
        <f t="shared" si="13"/>
        <v>6007</v>
      </c>
      <c r="I8" s="14">
        <f t="shared" si="13"/>
        <v>3976</v>
      </c>
      <c r="J8" s="14">
        <f t="shared" si="13"/>
        <v>4302</v>
      </c>
      <c r="K8" s="14">
        <f t="shared" si="13"/>
        <v>1005</v>
      </c>
      <c r="L8" s="14">
        <f t="shared" si="13"/>
        <v>5935</v>
      </c>
      <c r="M8" s="14">
        <f t="shared" si="13"/>
        <v>5211</v>
      </c>
      <c r="N8" s="14">
        <f t="shared" si="13"/>
        <v>5377</v>
      </c>
      <c r="O8" s="14">
        <f t="shared" si="13"/>
        <v>2690</v>
      </c>
      <c r="P8" s="14">
        <f t="shared" si="13"/>
        <v>-6188</v>
      </c>
      <c r="Q8" s="14">
        <f t="shared" si="13"/>
        <v>2700</v>
      </c>
      <c r="R8" s="14">
        <f t="shared" si="13"/>
        <v>3897</v>
      </c>
      <c r="S8" s="14">
        <f t="shared" si="13"/>
        <v>-1128</v>
      </c>
      <c r="T8" s="14">
        <f t="shared" si="13"/>
        <v>4476.3319999999985</v>
      </c>
      <c r="U8" s="14">
        <f t="shared" si="13"/>
        <v>3559.7490000000016</v>
      </c>
      <c r="V8" s="14">
        <f t="shared" si="13"/>
        <v>4333.4004000000023</v>
      </c>
      <c r="X8" s="14">
        <f>X5-X6-X7</f>
        <v>20569</v>
      </c>
      <c r="Y8" s="14">
        <f>Y5-Y6-Y7</f>
        <v>15493</v>
      </c>
      <c r="Z8" s="14">
        <f>Z5-Z6-Z7</f>
        <v>17528</v>
      </c>
      <c r="AA8" s="14">
        <f>AA5-AA6-AA7</f>
        <v>3099</v>
      </c>
      <c r="AB8" s="14">
        <f t="shared" ref="AB8:AK8" si="14">AB5-AB6-AB7</f>
        <v>11241.481400000006</v>
      </c>
      <c r="AC8" s="14">
        <f t="shared" si="14"/>
        <v>16532.370840000003</v>
      </c>
      <c r="AD8" s="14">
        <f t="shared" si="14"/>
        <v>18150.880957200017</v>
      </c>
      <c r="AE8" s="14">
        <f t="shared" si="14"/>
        <v>21552.883466939998</v>
      </c>
      <c r="AF8" s="14">
        <f t="shared" si="14"/>
        <v>22523.749570992597</v>
      </c>
      <c r="AG8" s="14">
        <f t="shared" si="14"/>
        <v>25871.525962488253</v>
      </c>
      <c r="AH8" s="14">
        <f t="shared" si="14"/>
        <v>26647.671741362879</v>
      </c>
      <c r="AI8" s="14">
        <f t="shared" si="14"/>
        <v>27061.790278594213</v>
      </c>
      <c r="AJ8" s="14">
        <f t="shared" si="14"/>
        <v>27480.626139642292</v>
      </c>
      <c r="AK8" s="14">
        <f t="shared" si="14"/>
        <v>27904.166719575627</v>
      </c>
    </row>
    <row r="9" spans="2:149" x14ac:dyDescent="0.3">
      <c r="B9" t="s">
        <v>50</v>
      </c>
      <c r="C9" s="3">
        <v>-53</v>
      </c>
      <c r="D9" s="3">
        <v>-58</v>
      </c>
      <c r="E9" s="3">
        <v>-77</v>
      </c>
      <c r="F9" s="3">
        <f>-75+23</f>
        <v>-52</v>
      </c>
      <c r="G9" s="3">
        <v>-55</v>
      </c>
      <c r="H9" s="3">
        <v>-5</v>
      </c>
      <c r="I9" s="3">
        <v>-36</v>
      </c>
      <c r="J9" s="3">
        <f>-95+45</f>
        <v>-50</v>
      </c>
      <c r="K9" s="3">
        <v>-38</v>
      </c>
      <c r="L9" s="3">
        <v>1</v>
      </c>
      <c r="M9" s="3">
        <v>18</v>
      </c>
      <c r="N9" s="3">
        <f>-101+75</f>
        <v>-26</v>
      </c>
      <c r="O9" s="3">
        <v>186</v>
      </c>
      <c r="P9" s="3">
        <v>294</v>
      </c>
      <c r="Q9" s="3">
        <v>335</v>
      </c>
      <c r="R9" s="3">
        <f>-49+281</f>
        <v>232</v>
      </c>
      <c r="S9" s="3">
        <v>261</v>
      </c>
      <c r="T9" s="3">
        <f t="shared" ref="T9:V9" si="15">S9*0.95</f>
        <v>247.95</v>
      </c>
      <c r="U9" s="3">
        <f t="shared" si="15"/>
        <v>235.55249999999998</v>
      </c>
      <c r="V9" s="3">
        <f t="shared" si="15"/>
        <v>223.77487499999998</v>
      </c>
      <c r="X9" s="15">
        <f>SUM(C9:F9)</f>
        <v>-240</v>
      </c>
      <c r="Y9" s="15">
        <f>SUM(G9:J9)</f>
        <v>-146</v>
      </c>
      <c r="Z9" s="15">
        <f>SUM(K9:N9)</f>
        <v>-45</v>
      </c>
      <c r="AA9" s="15">
        <f>SUM(O9:R9)</f>
        <v>1047</v>
      </c>
      <c r="AB9" s="15">
        <f>SUM(S9:V9)</f>
        <v>968.27737499999989</v>
      </c>
      <c r="AC9" s="3">
        <f>AB9*0.8</f>
        <v>774.62189999999998</v>
      </c>
      <c r="AD9" s="3">
        <f t="shared" ref="AD9:AK9" si="16">AC9*0.8</f>
        <v>619.69752000000005</v>
      </c>
      <c r="AE9" s="3">
        <f t="shared" si="16"/>
        <v>495.75801600000005</v>
      </c>
      <c r="AF9" s="3">
        <f t="shared" si="16"/>
        <v>396.60641280000004</v>
      </c>
      <c r="AG9" s="3">
        <f t="shared" si="16"/>
        <v>317.28513024000006</v>
      </c>
      <c r="AH9" s="3">
        <f t="shared" si="16"/>
        <v>253.82810419200007</v>
      </c>
      <c r="AI9" s="3">
        <f t="shared" si="16"/>
        <v>203.06248335360007</v>
      </c>
      <c r="AJ9" s="3">
        <f t="shared" si="16"/>
        <v>162.44998668288008</v>
      </c>
      <c r="AK9" s="3">
        <f t="shared" si="16"/>
        <v>129.95998934630407</v>
      </c>
    </row>
    <row r="10" spans="2:149" s="1" customFormat="1" x14ac:dyDescent="0.3">
      <c r="B10" s="1" t="s">
        <v>51</v>
      </c>
      <c r="C10" s="14">
        <f t="shared" ref="C10:V10" si="17">C8-C9</f>
        <v>3212</v>
      </c>
      <c r="D10" s="14">
        <f t="shared" si="17"/>
        <v>7708</v>
      </c>
      <c r="E10" s="14">
        <f t="shared" si="17"/>
        <v>5016</v>
      </c>
      <c r="F10" s="14">
        <f t="shared" si="17"/>
        <v>4873</v>
      </c>
      <c r="G10" s="14">
        <f t="shared" si="17"/>
        <v>1263</v>
      </c>
      <c r="H10" s="14">
        <f t="shared" si="17"/>
        <v>6012</v>
      </c>
      <c r="I10" s="14">
        <f t="shared" si="17"/>
        <v>4012</v>
      </c>
      <c r="J10" s="14">
        <f t="shared" si="17"/>
        <v>4352</v>
      </c>
      <c r="K10" s="14">
        <f t="shared" si="17"/>
        <v>1043</v>
      </c>
      <c r="L10" s="14">
        <f t="shared" si="17"/>
        <v>5934</v>
      </c>
      <c r="M10" s="14">
        <f t="shared" si="17"/>
        <v>5193</v>
      </c>
      <c r="N10" s="14">
        <f t="shared" si="17"/>
        <v>5403</v>
      </c>
      <c r="O10" s="14">
        <f t="shared" si="17"/>
        <v>2504</v>
      </c>
      <c r="P10" s="14">
        <f t="shared" si="17"/>
        <v>-6482</v>
      </c>
      <c r="Q10" s="14">
        <f t="shared" si="17"/>
        <v>2365</v>
      </c>
      <c r="R10" s="14">
        <f t="shared" si="17"/>
        <v>3665</v>
      </c>
      <c r="S10" s="14">
        <f t="shared" si="17"/>
        <v>-1389</v>
      </c>
      <c r="T10" s="14">
        <f t="shared" si="17"/>
        <v>4228.3819999999987</v>
      </c>
      <c r="U10" s="14">
        <f t="shared" si="17"/>
        <v>3324.1965000000018</v>
      </c>
      <c r="V10" s="14">
        <f t="shared" si="17"/>
        <v>4109.6255250000022</v>
      </c>
      <c r="X10" s="14">
        <f>X8-X9</f>
        <v>20809</v>
      </c>
      <c r="Y10" s="14">
        <f>Y8-Y9</f>
        <v>15639</v>
      </c>
      <c r="Z10" s="14">
        <f>Z8-Z9</f>
        <v>17573</v>
      </c>
      <c r="AA10" s="14">
        <f>AA8-AA9</f>
        <v>2052</v>
      </c>
      <c r="AB10" s="14">
        <f t="shared" ref="AB10:AK10" si="18">AB8-AB9</f>
        <v>10273.204025000006</v>
      </c>
      <c r="AC10" s="14">
        <f t="shared" si="18"/>
        <v>15757.748940000003</v>
      </c>
      <c r="AD10" s="14">
        <f t="shared" si="18"/>
        <v>17531.183437200016</v>
      </c>
      <c r="AE10" s="14">
        <f t="shared" si="18"/>
        <v>21057.125450939999</v>
      </c>
      <c r="AF10" s="14">
        <f t="shared" si="18"/>
        <v>22127.143158192597</v>
      </c>
      <c r="AG10" s="14">
        <f t="shared" si="18"/>
        <v>25554.240832248252</v>
      </c>
      <c r="AH10" s="14">
        <f t="shared" si="18"/>
        <v>26393.843637170878</v>
      </c>
      <c r="AI10" s="14">
        <f t="shared" si="18"/>
        <v>26858.727795240615</v>
      </c>
      <c r="AJ10" s="14">
        <f t="shared" si="18"/>
        <v>27318.176152959411</v>
      </c>
      <c r="AK10" s="14">
        <f t="shared" si="18"/>
        <v>27774.206730229322</v>
      </c>
    </row>
    <row r="11" spans="2:149" x14ac:dyDescent="0.3">
      <c r="B11" t="s">
        <v>52</v>
      </c>
      <c r="C11" s="3">
        <v>755</v>
      </c>
      <c r="D11" s="3">
        <v>1811</v>
      </c>
      <c r="E11" s="3">
        <v>1179</v>
      </c>
      <c r="F11" s="3">
        <v>880</v>
      </c>
      <c r="G11" s="3">
        <v>-109</v>
      </c>
      <c r="H11" s="3">
        <v>1374</v>
      </c>
      <c r="I11" s="3">
        <v>913</v>
      </c>
      <c r="J11" s="3">
        <v>809</v>
      </c>
      <c r="K11" s="3">
        <v>240</v>
      </c>
      <c r="L11" s="3">
        <v>1365</v>
      </c>
      <c r="M11" s="3">
        <v>1152</v>
      </c>
      <c r="N11" s="3">
        <v>1191</v>
      </c>
      <c r="O11" s="3">
        <v>576</v>
      </c>
      <c r="P11" s="3">
        <v>-1491</v>
      </c>
      <c r="Q11" s="3">
        <v>544</v>
      </c>
      <c r="R11" s="3">
        <v>1180</v>
      </c>
      <c r="S11" s="3">
        <v>-319</v>
      </c>
      <c r="T11" s="3">
        <f t="shared" ref="T11:V11" si="19">T10*0.22</f>
        <v>930.2440399999997</v>
      </c>
      <c r="U11" s="3">
        <f t="shared" si="19"/>
        <v>731.32323000000042</v>
      </c>
      <c r="V11" s="3">
        <f t="shared" si="19"/>
        <v>904.11761550000051</v>
      </c>
      <c r="X11" s="15">
        <f>SUM(C11:F11)</f>
        <v>4625</v>
      </c>
      <c r="Y11" s="15">
        <f>SUM(G11:J11)</f>
        <v>2987</v>
      </c>
      <c r="Z11" s="15">
        <f>SUM(K11:N11)</f>
        <v>3948</v>
      </c>
      <c r="AA11" s="15">
        <f>SUM(O11:R11)</f>
        <v>809</v>
      </c>
      <c r="AB11" s="15">
        <f>SUM(S11:V11)</f>
        <v>2246.6848855000007</v>
      </c>
      <c r="AC11" s="3">
        <f>AC10*0.22</f>
        <v>3466.7047668000009</v>
      </c>
      <c r="AD11" s="3">
        <f t="shared" ref="AD11:AK11" si="20">AD10*0.22</f>
        <v>3856.8603561840036</v>
      </c>
      <c r="AE11" s="3">
        <f t="shared" si="20"/>
        <v>4632.5675992068</v>
      </c>
      <c r="AF11" s="3">
        <f t="shared" si="20"/>
        <v>4867.9714948023711</v>
      </c>
      <c r="AG11" s="3">
        <f t="shared" si="20"/>
        <v>5621.9329830946153</v>
      </c>
      <c r="AH11" s="3">
        <f t="shared" si="20"/>
        <v>5806.6456001775932</v>
      </c>
      <c r="AI11" s="3">
        <f t="shared" si="20"/>
        <v>5908.9201149529354</v>
      </c>
      <c r="AJ11" s="3">
        <f t="shared" si="20"/>
        <v>6009.9987536510707</v>
      </c>
      <c r="AK11" s="3">
        <f t="shared" si="20"/>
        <v>6110.325480650451</v>
      </c>
    </row>
    <row r="12" spans="2:149" s="1" customFormat="1" x14ac:dyDescent="0.3">
      <c r="B12" s="1" t="s">
        <v>53</v>
      </c>
      <c r="C12" s="14">
        <f t="shared" ref="C12:Q12" si="21">C10-C11</f>
        <v>2457</v>
      </c>
      <c r="D12" s="14">
        <f t="shared" si="21"/>
        <v>5897</v>
      </c>
      <c r="E12" s="14">
        <f t="shared" si="21"/>
        <v>3837</v>
      </c>
      <c r="F12" s="14">
        <f t="shared" si="21"/>
        <v>3993</v>
      </c>
      <c r="G12" s="14">
        <f t="shared" si="21"/>
        <v>1372</v>
      </c>
      <c r="H12" s="14">
        <f t="shared" si="21"/>
        <v>4638</v>
      </c>
      <c r="I12" s="14">
        <f t="shared" si="21"/>
        <v>3099</v>
      </c>
      <c r="J12" s="14">
        <f t="shared" si="21"/>
        <v>3543</v>
      </c>
      <c r="K12" s="14">
        <f t="shared" si="21"/>
        <v>803</v>
      </c>
      <c r="L12" s="14">
        <f t="shared" si="21"/>
        <v>4569</v>
      </c>
      <c r="M12" s="14">
        <f t="shared" si="21"/>
        <v>4041</v>
      </c>
      <c r="N12" s="14">
        <f t="shared" si="21"/>
        <v>4212</v>
      </c>
      <c r="O12" s="14">
        <f t="shared" si="21"/>
        <v>1928</v>
      </c>
      <c r="P12" s="14">
        <f t="shared" si="21"/>
        <v>-4991</v>
      </c>
      <c r="Q12" s="14">
        <f t="shared" si="21"/>
        <v>1821</v>
      </c>
      <c r="R12" s="14">
        <f t="shared" ref="R12:AA12" si="22">R10-R11</f>
        <v>2485</v>
      </c>
      <c r="S12" s="14">
        <f t="shared" ref="S12:V12" si="23">S10-S11</f>
        <v>-1070</v>
      </c>
      <c r="T12" s="14">
        <f t="shared" si="23"/>
        <v>3298.1379599999991</v>
      </c>
      <c r="U12" s="14">
        <f t="shared" si="23"/>
        <v>2592.8732700000014</v>
      </c>
      <c r="V12" s="14">
        <f t="shared" si="23"/>
        <v>3205.5079095000019</v>
      </c>
      <c r="X12" s="14">
        <f t="shared" si="22"/>
        <v>16184</v>
      </c>
      <c r="Y12" s="14">
        <f t="shared" si="22"/>
        <v>12652</v>
      </c>
      <c r="Z12" s="14">
        <f t="shared" si="22"/>
        <v>13625</v>
      </c>
      <c r="AA12" s="14">
        <f t="shared" si="22"/>
        <v>1243</v>
      </c>
      <c r="AB12" s="14">
        <f t="shared" ref="AB12" si="24">AB10-AB11</f>
        <v>8026.5191395000056</v>
      </c>
      <c r="AC12" s="14">
        <f t="shared" ref="AC12" si="25">AC10-AC11</f>
        <v>12291.044173200002</v>
      </c>
      <c r="AD12" s="14">
        <f t="shared" ref="AD12" si="26">AD10-AD11</f>
        <v>13674.323081016013</v>
      </c>
      <c r="AE12" s="14">
        <f t="shared" ref="AE12" si="27">AE10-AE11</f>
        <v>16424.5578517332</v>
      </c>
      <c r="AF12" s="14">
        <f t="shared" ref="AF12" si="28">AF10-AF11</f>
        <v>17259.171663390225</v>
      </c>
      <c r="AG12" s="14">
        <f t="shared" ref="AG12" si="29">AG10-AG11</f>
        <v>19932.307849153636</v>
      </c>
      <c r="AH12" s="14">
        <f t="shared" ref="AH12" si="30">AH10-AH11</f>
        <v>20587.198036993286</v>
      </c>
      <c r="AI12" s="14">
        <f t="shared" ref="AI12" si="31">AI10-AI11</f>
        <v>20949.807680287679</v>
      </c>
      <c r="AJ12" s="14">
        <f t="shared" ref="AJ12" si="32">AJ10-AJ11</f>
        <v>21308.177399308341</v>
      </c>
      <c r="AK12" s="14">
        <f t="shared" ref="AK12" si="33">AK10-AK11</f>
        <v>21663.88124957887</v>
      </c>
      <c r="AL12" s="1">
        <f>AK12*(1+$AN$18)</f>
        <v>21447.242437083081</v>
      </c>
      <c r="AM12" s="1">
        <f t="shared" ref="AM12:CX12" si="34">AL12*(1+$AN$18)</f>
        <v>21232.770012712252</v>
      </c>
      <c r="AN12" s="1">
        <f t="shared" si="34"/>
        <v>21020.442312585128</v>
      </c>
      <c r="AO12" s="1">
        <f t="shared" si="34"/>
        <v>20810.237889459277</v>
      </c>
      <c r="AP12" s="1">
        <f t="shared" si="34"/>
        <v>20602.135510564683</v>
      </c>
      <c r="AQ12" s="1">
        <f t="shared" si="34"/>
        <v>20396.114155459036</v>
      </c>
      <c r="AR12" s="1">
        <f t="shared" si="34"/>
        <v>20192.153013904444</v>
      </c>
      <c r="AS12" s="1">
        <f t="shared" si="34"/>
        <v>19990.231483765401</v>
      </c>
      <c r="AT12" s="1">
        <f t="shared" si="34"/>
        <v>19790.329168927747</v>
      </c>
      <c r="AU12" s="1">
        <f t="shared" si="34"/>
        <v>19592.425877238467</v>
      </c>
      <c r="AV12" s="1">
        <f t="shared" si="34"/>
        <v>19396.501618466082</v>
      </c>
      <c r="AW12" s="1">
        <f t="shared" si="34"/>
        <v>19202.53660228142</v>
      </c>
      <c r="AX12" s="1">
        <f t="shared" si="34"/>
        <v>19010.511236258604</v>
      </c>
      <c r="AY12" s="1">
        <f t="shared" si="34"/>
        <v>18820.406123896017</v>
      </c>
      <c r="AZ12" s="1">
        <f t="shared" si="34"/>
        <v>18632.202062657056</v>
      </c>
      <c r="BA12" s="1">
        <f t="shared" si="34"/>
        <v>18445.880042030483</v>
      </c>
      <c r="BB12" s="1">
        <f t="shared" si="34"/>
        <v>18261.42124161018</v>
      </c>
      <c r="BC12" s="1">
        <f t="shared" si="34"/>
        <v>18078.807029194078</v>
      </c>
      <c r="BD12" s="1">
        <f t="shared" si="34"/>
        <v>17898.018958902139</v>
      </c>
      <c r="BE12" s="1">
        <f t="shared" si="34"/>
        <v>17719.038769313116</v>
      </c>
      <c r="BF12" s="1">
        <f t="shared" si="34"/>
        <v>17541.848381619984</v>
      </c>
      <c r="BG12" s="1">
        <f t="shared" si="34"/>
        <v>17366.429897803784</v>
      </c>
      <c r="BH12" s="1">
        <f t="shared" si="34"/>
        <v>17192.765598825747</v>
      </c>
      <c r="BI12" s="1">
        <f t="shared" si="34"/>
        <v>17020.83794283749</v>
      </c>
      <c r="BJ12" s="1">
        <f t="shared" si="34"/>
        <v>16850.629563409115</v>
      </c>
      <c r="BK12" s="1">
        <f t="shared" si="34"/>
        <v>16682.123267775023</v>
      </c>
      <c r="BL12" s="1">
        <f t="shared" si="34"/>
        <v>16515.302035097273</v>
      </c>
      <c r="BM12" s="1">
        <f t="shared" si="34"/>
        <v>16350.149014746299</v>
      </c>
      <c r="BN12" s="1">
        <f t="shared" si="34"/>
        <v>16186.647524598837</v>
      </c>
      <c r="BO12" s="1">
        <f t="shared" si="34"/>
        <v>16024.781049352849</v>
      </c>
      <c r="BP12" s="1">
        <f t="shared" si="34"/>
        <v>15864.53323885932</v>
      </c>
      <c r="BQ12" s="1">
        <f t="shared" si="34"/>
        <v>15705.887906470727</v>
      </c>
      <c r="BR12" s="1">
        <f t="shared" si="34"/>
        <v>15548.82902740602</v>
      </c>
      <c r="BS12" s="1">
        <f t="shared" si="34"/>
        <v>15393.340737131959</v>
      </c>
      <c r="BT12" s="1">
        <f t="shared" si="34"/>
        <v>15239.407329760639</v>
      </c>
      <c r="BU12" s="1">
        <f t="shared" si="34"/>
        <v>15087.013256463033</v>
      </c>
      <c r="BV12" s="1">
        <f t="shared" si="34"/>
        <v>14936.143123898402</v>
      </c>
      <c r="BW12" s="1">
        <f t="shared" si="34"/>
        <v>14786.781692659419</v>
      </c>
      <c r="BX12" s="1">
        <f t="shared" si="34"/>
        <v>14638.913875732824</v>
      </c>
      <c r="BY12" s="1">
        <f t="shared" si="34"/>
        <v>14492.524736975496</v>
      </c>
      <c r="BZ12" s="1">
        <f t="shared" si="34"/>
        <v>14347.599489605742</v>
      </c>
      <c r="CA12" s="1">
        <f t="shared" si="34"/>
        <v>14204.123494709684</v>
      </c>
      <c r="CB12" s="1">
        <f t="shared" si="34"/>
        <v>14062.082259762587</v>
      </c>
      <c r="CC12" s="1">
        <f t="shared" si="34"/>
        <v>13921.46143716496</v>
      </c>
      <c r="CD12" s="1">
        <f t="shared" si="34"/>
        <v>13782.246822793311</v>
      </c>
      <c r="CE12" s="1">
        <f t="shared" si="34"/>
        <v>13644.424354565379</v>
      </c>
      <c r="CF12" s="1">
        <f t="shared" si="34"/>
        <v>13507.980111019726</v>
      </c>
      <c r="CG12" s="1">
        <f t="shared" si="34"/>
        <v>13372.900309909528</v>
      </c>
      <c r="CH12" s="1">
        <f t="shared" si="34"/>
        <v>13239.171306810433</v>
      </c>
      <c r="CI12" s="1">
        <f t="shared" si="34"/>
        <v>13106.779593742329</v>
      </c>
      <c r="CJ12" s="1">
        <f t="shared" si="34"/>
        <v>12975.711797804905</v>
      </c>
      <c r="CK12" s="1">
        <f t="shared" si="34"/>
        <v>12845.954679826855</v>
      </c>
      <c r="CL12" s="1">
        <f t="shared" si="34"/>
        <v>12717.495133028586</v>
      </c>
      <c r="CM12" s="1">
        <f t="shared" si="34"/>
        <v>12590.3201816983</v>
      </c>
      <c r="CN12" s="1">
        <f t="shared" si="34"/>
        <v>12464.416979881316</v>
      </c>
      <c r="CO12" s="1">
        <f t="shared" si="34"/>
        <v>12339.772810082502</v>
      </c>
      <c r="CP12" s="1">
        <f t="shared" si="34"/>
        <v>12216.375081981678</v>
      </c>
      <c r="CQ12" s="1">
        <f t="shared" si="34"/>
        <v>12094.211331161861</v>
      </c>
      <c r="CR12" s="1">
        <f t="shared" si="34"/>
        <v>11973.269217850242</v>
      </c>
      <c r="CS12" s="1">
        <f t="shared" si="34"/>
        <v>11853.53652567174</v>
      </c>
      <c r="CT12" s="1">
        <f t="shared" si="34"/>
        <v>11735.001160415022</v>
      </c>
      <c r="CU12" s="1">
        <f t="shared" si="34"/>
        <v>11617.651148810872</v>
      </c>
      <c r="CV12" s="1">
        <f t="shared" si="34"/>
        <v>11501.474637322763</v>
      </c>
      <c r="CW12" s="1">
        <f t="shared" si="34"/>
        <v>11386.459890949534</v>
      </c>
      <c r="CX12" s="1">
        <f t="shared" si="34"/>
        <v>11272.59529204004</v>
      </c>
      <c r="CY12" s="1">
        <f t="shared" ref="CY12:ES12" si="35">CX12*(1+$AN$18)</f>
        <v>11159.869339119639</v>
      </c>
      <c r="CZ12" s="1">
        <f t="shared" si="35"/>
        <v>11048.270645728442</v>
      </c>
      <c r="DA12" s="1">
        <f t="shared" si="35"/>
        <v>10937.787939271158</v>
      </c>
      <c r="DB12" s="1">
        <f t="shared" si="35"/>
        <v>10828.410059878446</v>
      </c>
      <c r="DC12" s="1">
        <f t="shared" si="35"/>
        <v>10720.125959279661</v>
      </c>
      <c r="DD12" s="1">
        <f t="shared" si="35"/>
        <v>10612.924699686864</v>
      </c>
      <c r="DE12" s="1">
        <f t="shared" si="35"/>
        <v>10506.795452689996</v>
      </c>
      <c r="DF12" s="1">
        <f t="shared" si="35"/>
        <v>10401.727498163096</v>
      </c>
      <c r="DG12" s="1">
        <f t="shared" si="35"/>
        <v>10297.710223181466</v>
      </c>
      <c r="DH12" s="1">
        <f t="shared" si="35"/>
        <v>10194.733120949651</v>
      </c>
      <c r="DI12" s="1">
        <f t="shared" si="35"/>
        <v>10092.785789740155</v>
      </c>
      <c r="DJ12" s="1">
        <f t="shared" si="35"/>
        <v>9991.8579318427546</v>
      </c>
      <c r="DK12" s="1">
        <f t="shared" si="35"/>
        <v>9891.9393525243268</v>
      </c>
      <c r="DL12" s="1">
        <f t="shared" si="35"/>
        <v>9793.0199589990825</v>
      </c>
      <c r="DM12" s="1">
        <f t="shared" si="35"/>
        <v>9695.0897594090911</v>
      </c>
      <c r="DN12" s="1">
        <f t="shared" si="35"/>
        <v>9598.1388618149995</v>
      </c>
      <c r="DO12" s="1">
        <f t="shared" si="35"/>
        <v>9502.1574731968485</v>
      </c>
      <c r="DP12" s="1">
        <f t="shared" si="35"/>
        <v>9407.1358984648796</v>
      </c>
      <c r="DQ12" s="1">
        <f t="shared" si="35"/>
        <v>9313.0645394802305</v>
      </c>
      <c r="DR12" s="1">
        <f t="shared" si="35"/>
        <v>9219.9338940854286</v>
      </c>
      <c r="DS12" s="1">
        <f t="shared" si="35"/>
        <v>9127.7345551445742</v>
      </c>
      <c r="DT12" s="1">
        <f t="shared" si="35"/>
        <v>9036.4572095931289</v>
      </c>
      <c r="DU12" s="1">
        <f t="shared" si="35"/>
        <v>8946.0926374971968</v>
      </c>
      <c r="DV12" s="1">
        <f t="shared" si="35"/>
        <v>8856.6317111222252</v>
      </c>
      <c r="DW12" s="1">
        <f t="shared" si="35"/>
        <v>8768.0653940110024</v>
      </c>
      <c r="DX12" s="1">
        <f t="shared" si="35"/>
        <v>8680.3847400708928</v>
      </c>
      <c r="DY12" s="1">
        <f t="shared" si="35"/>
        <v>8593.5808926701829</v>
      </c>
      <c r="DZ12" s="1">
        <f t="shared" si="35"/>
        <v>8507.6450837434804</v>
      </c>
      <c r="EA12" s="1">
        <f t="shared" si="35"/>
        <v>8422.5686329060463</v>
      </c>
      <c r="EB12" s="1">
        <f t="shared" si="35"/>
        <v>8338.3429465769859</v>
      </c>
      <c r="EC12" s="1">
        <f t="shared" si="35"/>
        <v>8254.959517111216</v>
      </c>
      <c r="ED12" s="1">
        <f t="shared" si="35"/>
        <v>8172.4099219401041</v>
      </c>
      <c r="EE12" s="1">
        <f t="shared" si="35"/>
        <v>8090.6858227207031</v>
      </c>
      <c r="EF12" s="1">
        <f t="shared" si="35"/>
        <v>8009.7789644934956</v>
      </c>
      <c r="EG12" s="1">
        <f t="shared" si="35"/>
        <v>7929.6811748485607</v>
      </c>
      <c r="EH12" s="1">
        <f t="shared" si="35"/>
        <v>7850.3843631000746</v>
      </c>
      <c r="EI12" s="1">
        <f t="shared" si="35"/>
        <v>7771.880519469074</v>
      </c>
      <c r="EJ12" s="1">
        <f t="shared" si="35"/>
        <v>7694.1617142743835</v>
      </c>
      <c r="EK12" s="1">
        <f t="shared" si="35"/>
        <v>7617.2200971316397</v>
      </c>
      <c r="EL12" s="1">
        <f t="shared" si="35"/>
        <v>7541.047896160323</v>
      </c>
      <c r="EM12" s="1">
        <f t="shared" si="35"/>
        <v>7465.63741719872</v>
      </c>
      <c r="EN12" s="1">
        <f t="shared" si="35"/>
        <v>7390.9810430267326</v>
      </c>
      <c r="EO12" s="1">
        <f t="shared" si="35"/>
        <v>7317.0712325964651</v>
      </c>
      <c r="EP12" s="1">
        <f t="shared" si="35"/>
        <v>7243.9005202705002</v>
      </c>
      <c r="EQ12" s="1">
        <f t="shared" si="35"/>
        <v>7171.4615150677955</v>
      </c>
      <c r="ER12" s="1">
        <f t="shared" si="35"/>
        <v>7099.7468999171178</v>
      </c>
      <c r="ES12" s="1">
        <f t="shared" si="35"/>
        <v>7028.7494309179465</v>
      </c>
    </row>
    <row r="13" spans="2:149" x14ac:dyDescent="0.3">
      <c r="B13" t="s">
        <v>1</v>
      </c>
      <c r="C13" s="3">
        <v>1655</v>
      </c>
      <c r="D13" s="3">
        <v>1655</v>
      </c>
      <c r="E13" s="3">
        <v>1655</v>
      </c>
      <c r="F13" s="3">
        <v>1655</v>
      </c>
      <c r="G13" s="3">
        <v>1655</v>
      </c>
      <c r="H13" s="3">
        <v>1655</v>
      </c>
      <c r="I13" s="3">
        <v>1655</v>
      </c>
      <c r="J13" s="3">
        <v>1655</v>
      </c>
      <c r="K13" s="3">
        <v>1655</v>
      </c>
      <c r="L13" s="3">
        <v>1655</v>
      </c>
      <c r="M13" s="3">
        <v>1655</v>
      </c>
      <c r="N13" s="3">
        <v>1655</v>
      </c>
      <c r="O13" s="3">
        <v>1655</v>
      </c>
      <c r="P13" s="3">
        <v>1655</v>
      </c>
      <c r="Q13" s="3">
        <v>1655</v>
      </c>
      <c r="R13" s="3">
        <v>1655</v>
      </c>
      <c r="S13" s="3">
        <v>1655</v>
      </c>
      <c r="T13" s="3">
        <v>1655</v>
      </c>
      <c r="U13" s="3">
        <v>1655</v>
      </c>
      <c r="V13" s="3">
        <v>1655</v>
      </c>
      <c r="X13" s="3">
        <v>1655</v>
      </c>
      <c r="Y13" s="3">
        <v>1655</v>
      </c>
      <c r="Z13" s="3">
        <v>1655</v>
      </c>
      <c r="AA13" s="3">
        <v>1655</v>
      </c>
      <c r="AB13" s="3">
        <v>1655</v>
      </c>
      <c r="AC13" s="3">
        <v>1655</v>
      </c>
      <c r="AD13" s="3">
        <v>1655</v>
      </c>
      <c r="AE13" s="3">
        <v>1655</v>
      </c>
      <c r="AF13" s="3">
        <v>1655</v>
      </c>
      <c r="AG13" s="3">
        <v>1655</v>
      </c>
      <c r="AH13" s="3">
        <v>1655</v>
      </c>
      <c r="AI13" s="3">
        <v>1655</v>
      </c>
      <c r="AJ13" s="3">
        <v>1655</v>
      </c>
      <c r="AK13" s="3">
        <v>1655</v>
      </c>
    </row>
    <row r="14" spans="2:149" s="1" customFormat="1" x14ac:dyDescent="0.3">
      <c r="B14" s="1" t="s">
        <v>54</v>
      </c>
      <c r="C14" s="10">
        <f t="shared" ref="C14:Q14" si="36">C12/C13</f>
        <v>1.4845921450151058</v>
      </c>
      <c r="D14" s="10">
        <f t="shared" si="36"/>
        <v>3.563141993957704</v>
      </c>
      <c r="E14" s="10">
        <f t="shared" si="36"/>
        <v>2.3184290030211478</v>
      </c>
      <c r="F14" s="10">
        <f t="shared" si="36"/>
        <v>2.412688821752266</v>
      </c>
      <c r="G14" s="10">
        <f t="shared" si="36"/>
        <v>0.82900302114803626</v>
      </c>
      <c r="H14" s="10">
        <f t="shared" si="36"/>
        <v>2.8024169184290031</v>
      </c>
      <c r="I14" s="10">
        <f t="shared" si="36"/>
        <v>1.8725075528700907</v>
      </c>
      <c r="J14" s="10">
        <f t="shared" si="36"/>
        <v>2.1407854984894259</v>
      </c>
      <c r="K14" s="10">
        <f t="shared" si="36"/>
        <v>0.48519637462235649</v>
      </c>
      <c r="L14" s="10">
        <f t="shared" si="36"/>
        <v>2.7607250755287009</v>
      </c>
      <c r="M14" s="10">
        <f t="shared" si="36"/>
        <v>2.4416918429003021</v>
      </c>
      <c r="N14" s="10">
        <f t="shared" si="36"/>
        <v>2.5450151057401813</v>
      </c>
      <c r="O14" s="10">
        <f t="shared" si="36"/>
        <v>1.1649546827794561</v>
      </c>
      <c r="P14" s="10">
        <f t="shared" si="36"/>
        <v>-3.0157099697885195</v>
      </c>
      <c r="Q14" s="10">
        <f t="shared" si="36"/>
        <v>1.1003021148036254</v>
      </c>
      <c r="R14" s="10">
        <f t="shared" ref="R14:AA14" si="37">R12/R13</f>
        <v>1.5015105740181269</v>
      </c>
      <c r="S14" s="10">
        <f t="shared" ref="S14:V14" si="38">S12/S13</f>
        <v>-0.6465256797583081</v>
      </c>
      <c r="T14" s="10">
        <f t="shared" si="38"/>
        <v>1.9928326042296067</v>
      </c>
      <c r="U14" s="10">
        <f t="shared" si="38"/>
        <v>1.5666907975830824</v>
      </c>
      <c r="V14" s="10">
        <f t="shared" si="38"/>
        <v>1.9368627851963758</v>
      </c>
      <c r="X14" s="10">
        <f t="shared" si="37"/>
        <v>9.7788519637462237</v>
      </c>
      <c r="Y14" s="10">
        <f t="shared" si="37"/>
        <v>7.6447129909365561</v>
      </c>
      <c r="Z14" s="10">
        <f t="shared" si="37"/>
        <v>8.2326283987915403</v>
      </c>
      <c r="AA14" s="10">
        <f t="shared" si="37"/>
        <v>0.75105740181268887</v>
      </c>
      <c r="AB14" s="10">
        <f t="shared" ref="AB14" si="39">AB12/AB13</f>
        <v>4.8498605072507583</v>
      </c>
      <c r="AC14" s="10">
        <f t="shared" ref="AC14" si="40">AC12/AC13</f>
        <v>7.4266127934743214</v>
      </c>
      <c r="AD14" s="10">
        <f t="shared" ref="AD14" si="41">AD12/AD13</f>
        <v>8.2624308646622442</v>
      </c>
      <c r="AE14" s="10">
        <f t="shared" ref="AE14" si="42">AE12/AE13</f>
        <v>9.9242041400200609</v>
      </c>
      <c r="AF14" s="10">
        <f t="shared" ref="AF14" si="43">AF12/AF13</f>
        <v>10.42850251564364</v>
      </c>
      <c r="AG14" s="10">
        <f t="shared" ref="AG14" si="44">AG12/AG13</f>
        <v>12.043690543295249</v>
      </c>
      <c r="AH14" s="10">
        <f t="shared" ref="AH14" si="45">AH12/AH13</f>
        <v>12.439394584285974</v>
      </c>
      <c r="AI14" s="10">
        <f t="shared" ref="AI14" si="46">AI12/AI13</f>
        <v>12.658494066639081</v>
      </c>
      <c r="AJ14" s="10">
        <f t="shared" ref="AJ14" si="47">AJ12/AJ13</f>
        <v>12.875031661213498</v>
      </c>
      <c r="AK14" s="10">
        <f t="shared" ref="AK14" si="48">AK12/AK13</f>
        <v>13.089958458960043</v>
      </c>
    </row>
    <row r="16" spans="2:149" x14ac:dyDescent="0.3">
      <c r="B16" s="1" t="s">
        <v>59</v>
      </c>
      <c r="G16" s="11">
        <f>G3/C3-1</f>
        <v>-1.7111844205597526E-2</v>
      </c>
      <c r="H16" s="11">
        <f t="shared" ref="H16:R16" si="49">H3/D3-1</f>
        <v>1.169647548800179E-2</v>
      </c>
      <c r="I16" s="11">
        <f t="shared" si="49"/>
        <v>8.9636729196353571E-2</v>
      </c>
      <c r="J16" s="11">
        <f t="shared" si="49"/>
        <v>0.11916995655365326</v>
      </c>
      <c r="K16" s="11">
        <f t="shared" si="49"/>
        <v>0.10467508282627058</v>
      </c>
      <c r="L16" s="11">
        <f t="shared" si="49"/>
        <v>0.10560941828254844</v>
      </c>
      <c r="M16" s="11">
        <f t="shared" si="49"/>
        <v>0.12094014797298502</v>
      </c>
      <c r="N16" s="11">
        <f t="shared" si="49"/>
        <v>9.3593788775835796E-2</v>
      </c>
      <c r="O16" s="11">
        <f t="shared" si="49"/>
        <v>7.709497206703908E-2</v>
      </c>
      <c r="P16" s="11">
        <f t="shared" si="49"/>
        <v>-0.50127013954135791</v>
      </c>
      <c r="Q16" s="11">
        <f t="shared" si="49"/>
        <v>-0.18701655692642072</v>
      </c>
      <c r="R16" s="11">
        <f t="shared" si="49"/>
        <v>-0.14823159464453595</v>
      </c>
      <c r="S16" s="11">
        <f t="shared" ref="S16" si="50">S3/O3-1</f>
        <v>-0.27094707723666012</v>
      </c>
      <c r="T16" s="11">
        <f t="shared" ref="T16" si="51">T3/P3-1</f>
        <v>0.7</v>
      </c>
      <c r="U16" s="11">
        <f t="shared" ref="U16" si="52">U3/Q3-1</f>
        <v>7.0000000000000062E-2</v>
      </c>
      <c r="V16" s="11">
        <f t="shared" ref="V16" si="53">V3/R3-1</f>
        <v>8.0000000000000071E-2</v>
      </c>
      <c r="Y16" s="11">
        <f>Y3/X3-1</f>
        <v>5.1978960420791642E-2</v>
      </c>
      <c r="Z16" s="11">
        <f t="shared" ref="Z16:AK16" si="54">Z3/Y3-1</f>
        <v>0.10624999999999996</v>
      </c>
      <c r="AA16" s="11">
        <f t="shared" si="54"/>
        <v>-0.19644690769263817</v>
      </c>
      <c r="AB16" s="11">
        <f t="shared" si="54"/>
        <v>6.919505322647046E-2</v>
      </c>
      <c r="AC16" s="11">
        <f t="shared" si="54"/>
        <v>0.10000000000000009</v>
      </c>
      <c r="AD16" s="11">
        <f t="shared" si="54"/>
        <v>8.0000000000000071E-2</v>
      </c>
      <c r="AE16" s="11">
        <f t="shared" si="54"/>
        <v>5.0000000000000044E-2</v>
      </c>
      <c r="AF16" s="11">
        <f t="shared" si="54"/>
        <v>4.0000000000000036E-2</v>
      </c>
      <c r="AG16" s="11">
        <f t="shared" si="54"/>
        <v>3.0000000000000027E-2</v>
      </c>
      <c r="AH16" s="11">
        <f t="shared" si="54"/>
        <v>3.0000000000000027E-2</v>
      </c>
      <c r="AI16" s="11">
        <f t="shared" si="54"/>
        <v>2.0000000000000018E-2</v>
      </c>
      <c r="AJ16" s="11">
        <f t="shared" si="54"/>
        <v>2.0000000000000018E-2</v>
      </c>
      <c r="AK16" s="11">
        <f t="shared" si="54"/>
        <v>2.0000000000000018E-2</v>
      </c>
    </row>
    <row r="17" spans="2:40" x14ac:dyDescent="0.3">
      <c r="B17" s="1" t="s">
        <v>60</v>
      </c>
      <c r="C17" s="11">
        <f>C5/C3</f>
        <v>0.52071937852506123</v>
      </c>
      <c r="D17" s="11">
        <f t="shared" ref="D17:G17" si="55">D5/D3</f>
        <v>0.57110328318704628</v>
      </c>
      <c r="E17" s="11">
        <f t="shared" si="55"/>
        <v>0.51435710242245603</v>
      </c>
      <c r="F17" s="11">
        <f t="shared" si="55"/>
        <v>0.55406987124804097</v>
      </c>
      <c r="G17" s="11">
        <f t="shared" si="55"/>
        <v>0.49890647668954763</v>
      </c>
      <c r="H17" s="11">
        <f t="shared" ref="H17:R17" si="56">H5/H3</f>
        <v>0.5610187750076947</v>
      </c>
      <c r="I17" s="11">
        <f t="shared" si="56"/>
        <v>0.50323355009763349</v>
      </c>
      <c r="J17" s="11">
        <f t="shared" si="56"/>
        <v>0.5422767398163576</v>
      </c>
      <c r="K17" s="11">
        <f t="shared" si="56"/>
        <v>0.50036263843967466</v>
      </c>
      <c r="L17" s="11">
        <f t="shared" si="56"/>
        <v>0.55372864251661624</v>
      </c>
      <c r="M17" s="11">
        <f t="shared" si="56"/>
        <v>0.51136290992776323</v>
      </c>
      <c r="N17" s="11">
        <f t="shared" si="56"/>
        <v>0.53955003728077289</v>
      </c>
      <c r="O17" s="11">
        <f t="shared" si="56"/>
        <v>0.51019145373807961</v>
      </c>
      <c r="P17" s="11">
        <f t="shared" si="56"/>
        <v>0.4634384593915713</v>
      </c>
      <c r="Q17" s="11">
        <f t="shared" si="56"/>
        <v>0.48851975624139965</v>
      </c>
      <c r="R17" s="11">
        <f t="shared" si="56"/>
        <v>0.52094235856058158</v>
      </c>
      <c r="S17" s="11">
        <f t="shared" ref="S17:V17" si="57">S5/S3</f>
        <v>0.47571143285072393</v>
      </c>
      <c r="T17" s="11">
        <f t="shared" si="57"/>
        <v>0.54</v>
      </c>
      <c r="U17" s="11">
        <f t="shared" si="57"/>
        <v>0.51</v>
      </c>
      <c r="V17" s="11">
        <f t="shared" si="57"/>
        <v>0.53</v>
      </c>
      <c r="X17" s="11">
        <f t="shared" ref="X17:AK17" si="58">X5/X3</f>
        <v>0.54043919121617567</v>
      </c>
      <c r="Y17" s="11">
        <f t="shared" si="58"/>
        <v>0.52702946768060832</v>
      </c>
      <c r="Z17" s="11">
        <f t="shared" si="58"/>
        <v>0.52688449227728729</v>
      </c>
      <c r="AA17" s="11">
        <f t="shared" si="58"/>
        <v>0.50015238115606508</v>
      </c>
      <c r="AB17" s="11">
        <f t="shared" si="58"/>
        <v>0.51611744947883365</v>
      </c>
      <c r="AC17" s="11">
        <f t="shared" si="58"/>
        <v>0.53</v>
      </c>
      <c r="AD17" s="11">
        <f t="shared" si="58"/>
        <v>0.53</v>
      </c>
      <c r="AE17" s="11">
        <f t="shared" si="58"/>
        <v>0.53</v>
      </c>
      <c r="AF17" s="11">
        <f t="shared" si="58"/>
        <v>0.53</v>
      </c>
      <c r="AG17" s="11">
        <f t="shared" si="58"/>
        <v>0.54</v>
      </c>
      <c r="AH17" s="11">
        <f t="shared" si="58"/>
        <v>0.54</v>
      </c>
      <c r="AI17" s="11">
        <f t="shared" si="58"/>
        <v>0.54</v>
      </c>
      <c r="AJ17" s="11">
        <f t="shared" si="58"/>
        <v>0.54</v>
      </c>
      <c r="AK17" s="11">
        <f t="shared" si="58"/>
        <v>0.54</v>
      </c>
    </row>
    <row r="18" spans="2:40" x14ac:dyDescent="0.3">
      <c r="B18" s="12" t="s">
        <v>61</v>
      </c>
      <c r="C18" s="11">
        <f>C8/C3</f>
        <v>6.7234223688411199E-2</v>
      </c>
      <c r="D18" s="11">
        <f t="shared" ref="D18:G18" si="59">D8/D3</f>
        <v>0.14888192592880914</v>
      </c>
      <c r="E18" s="11">
        <f t="shared" si="59"/>
        <v>9.641023638954499E-2</v>
      </c>
      <c r="F18" s="11">
        <f t="shared" si="59"/>
        <v>9.5641478366099944E-2</v>
      </c>
      <c r="G18" s="11">
        <f t="shared" si="59"/>
        <v>2.6157943743097812E-2</v>
      </c>
      <c r="H18" s="11">
        <f t="shared" ref="H18:R18" si="60">H8/H3</f>
        <v>0.11555478608802709</v>
      </c>
      <c r="I18" s="11">
        <f t="shared" si="60"/>
        <v>7.1227674172802347E-2</v>
      </c>
      <c r="J18" s="11">
        <f t="shared" si="60"/>
        <v>7.6257666536675289E-2</v>
      </c>
      <c r="K18" s="11">
        <f t="shared" si="60"/>
        <v>1.9700088209350191E-2</v>
      </c>
      <c r="L18" s="11">
        <f t="shared" si="60"/>
        <v>0.10326408462957164</v>
      </c>
      <c r="M18" s="11">
        <f t="shared" si="60"/>
        <v>8.3280061369302563E-2</v>
      </c>
      <c r="N18" s="11">
        <f t="shared" si="60"/>
        <v>8.7155963302752298E-2</v>
      </c>
      <c r="O18" s="11">
        <f t="shared" si="60"/>
        <v>4.8955375991846836E-2</v>
      </c>
      <c r="P18" s="11">
        <f t="shared" si="60"/>
        <v>-0.21588054702763049</v>
      </c>
      <c r="Q18" s="11">
        <f t="shared" si="60"/>
        <v>5.3076469431885195E-2</v>
      </c>
      <c r="R18" s="11">
        <f t="shared" si="60"/>
        <v>7.4159356029610463E-2</v>
      </c>
      <c r="S18" s="11">
        <f t="shared" ref="S18:V18" si="61">S8/S3</f>
        <v>-2.8157763354967547E-2</v>
      </c>
      <c r="T18" s="11">
        <f t="shared" si="61"/>
        <v>9.1862143126857199E-2</v>
      </c>
      <c r="U18" s="11">
        <f t="shared" si="61"/>
        <v>6.5399414670710962E-2</v>
      </c>
      <c r="V18" s="11">
        <f t="shared" si="61"/>
        <v>7.6355549635155368E-2</v>
      </c>
      <c r="X18" s="11">
        <f t="shared" ref="X18:AK18" si="62">X8/X3</f>
        <v>0.10284294314113718</v>
      </c>
      <c r="Y18" s="11">
        <f t="shared" si="62"/>
        <v>7.3635931558935358E-2</v>
      </c>
      <c r="Z18" s="11">
        <f t="shared" si="62"/>
        <v>7.5306652918304656E-2</v>
      </c>
      <c r="AA18" s="11">
        <f t="shared" si="62"/>
        <v>1.6569445706861429E-2</v>
      </c>
      <c r="AB18" s="11">
        <f t="shared" si="62"/>
        <v>5.6215102847579863E-2</v>
      </c>
      <c r="AC18" s="11">
        <f t="shared" si="62"/>
        <v>7.5157429233880316E-2</v>
      </c>
      <c r="AD18" s="11">
        <f t="shared" si="62"/>
        <v>7.6403056199605912E-2</v>
      </c>
      <c r="AE18" s="11">
        <f t="shared" si="62"/>
        <v>8.6403056199605838E-2</v>
      </c>
      <c r="AF18" s="11">
        <f t="shared" si="62"/>
        <v>8.6822257582301929E-2</v>
      </c>
      <c r="AG18" s="11">
        <f t="shared" si="62"/>
        <v>9.6822257582301993E-2</v>
      </c>
      <c r="AH18" s="11">
        <f t="shared" si="62"/>
        <v>9.6822257582301924E-2</v>
      </c>
      <c r="AI18" s="11">
        <f t="shared" si="62"/>
        <v>9.6398946382128425E-2</v>
      </c>
      <c r="AJ18" s="11">
        <f t="shared" si="62"/>
        <v>9.5971485072149296E-2</v>
      </c>
      <c r="AK18" s="11">
        <f t="shared" si="62"/>
        <v>9.5539832965013533E-2</v>
      </c>
      <c r="AM18" t="s">
        <v>64</v>
      </c>
      <c r="AN18" s="11">
        <v>-0.01</v>
      </c>
    </row>
    <row r="19" spans="2:40" x14ac:dyDescent="0.3">
      <c r="B19" s="12" t="s">
        <v>62</v>
      </c>
      <c r="C19" s="11">
        <f>C6/C3</f>
        <v>0.41615409173140366</v>
      </c>
      <c r="D19" s="11">
        <f t="shared" ref="D19:G19" si="63">D6/D3</f>
        <v>0.38775470486347624</v>
      </c>
      <c r="E19" s="11">
        <f t="shared" si="63"/>
        <v>0.38564094555817996</v>
      </c>
      <c r="F19" s="11">
        <f t="shared" si="63"/>
        <v>0.42045747614418633</v>
      </c>
      <c r="G19" s="11">
        <f t="shared" si="63"/>
        <v>0.43255884454645849</v>
      </c>
      <c r="H19" s="11">
        <f t="shared" ref="H19:R19" si="64">H6/H3</f>
        <v>0.40579793782702372</v>
      </c>
      <c r="I19" s="11">
        <f t="shared" si="64"/>
        <v>0.39755647516167752</v>
      </c>
      <c r="J19" s="11">
        <f t="shared" si="64"/>
        <v>0.42984011061084126</v>
      </c>
      <c r="K19" s="11">
        <f t="shared" si="64"/>
        <v>0.43953739096344213</v>
      </c>
      <c r="L19" s="11">
        <f t="shared" si="64"/>
        <v>0.4115426105717368</v>
      </c>
      <c r="M19" s="11">
        <f t="shared" si="64"/>
        <v>0.3940900083104264</v>
      </c>
      <c r="N19" s="11">
        <f t="shared" si="64"/>
        <v>0.41404350504100884</v>
      </c>
      <c r="O19" s="11">
        <f t="shared" si="64"/>
        <v>0.41908713692946059</v>
      </c>
      <c r="P19" s="11">
        <f t="shared" si="64"/>
        <v>0.60138152386268495</v>
      </c>
      <c r="Q19" s="11">
        <f t="shared" si="64"/>
        <v>0.39394535089443677</v>
      </c>
      <c r="R19" s="11">
        <f t="shared" si="64"/>
        <v>0.40189156786998803</v>
      </c>
      <c r="S19" s="11">
        <f t="shared" ref="S19:V19" si="65">S6/S3</f>
        <v>0.45034947578632051</v>
      </c>
      <c r="T19" s="11">
        <f t="shared" si="65"/>
        <v>0.4</v>
      </c>
      <c r="U19" s="11">
        <f t="shared" si="65"/>
        <v>0.4</v>
      </c>
      <c r="V19" s="11">
        <f t="shared" si="65"/>
        <v>0.41</v>
      </c>
      <c r="X19" s="11">
        <f t="shared" ref="X19:AK19" si="66">X6/X3</f>
        <v>0.40212695746085081</v>
      </c>
      <c r="Y19" s="11">
        <f t="shared" si="66"/>
        <v>0.41593155893536121</v>
      </c>
      <c r="Z19" s="11">
        <f t="shared" si="66"/>
        <v>0.41364954565959916</v>
      </c>
      <c r="AA19" s="11">
        <f t="shared" si="66"/>
        <v>0.43535563623142687</v>
      </c>
      <c r="AB19" s="11">
        <f t="shared" si="66"/>
        <v>0.41292441535246177</v>
      </c>
      <c r="AC19" s="11">
        <f t="shared" si="66"/>
        <v>0.41</v>
      </c>
      <c r="AD19" s="11">
        <f t="shared" si="66"/>
        <v>0.41</v>
      </c>
      <c r="AE19" s="11">
        <f t="shared" si="66"/>
        <v>0.4</v>
      </c>
      <c r="AF19" s="11">
        <f t="shared" si="66"/>
        <v>0.4</v>
      </c>
      <c r="AG19" s="11">
        <f t="shared" si="66"/>
        <v>0.4</v>
      </c>
      <c r="AH19" s="11">
        <f t="shared" si="66"/>
        <v>0.4</v>
      </c>
      <c r="AI19" s="11">
        <f t="shared" si="66"/>
        <v>0.4</v>
      </c>
      <c r="AJ19" s="11">
        <f t="shared" si="66"/>
        <v>0.4</v>
      </c>
      <c r="AK19" s="11">
        <f t="shared" si="66"/>
        <v>0.4</v>
      </c>
      <c r="AM19" t="s">
        <v>65</v>
      </c>
      <c r="AN19" s="11">
        <v>0.06</v>
      </c>
    </row>
    <row r="20" spans="2:40" x14ac:dyDescent="0.3">
      <c r="B20" s="12" t="s">
        <v>63</v>
      </c>
      <c r="G20" s="11">
        <f>G7/C7-1</f>
        <v>5.8152793614595133E-2</v>
      </c>
      <c r="H20" s="11">
        <f t="shared" ref="H20:R20" si="67">H7/D7-1</f>
        <v>0.16431394692264267</v>
      </c>
      <c r="I20" s="11">
        <f t="shared" si="67"/>
        <v>0.16193353474320249</v>
      </c>
      <c r="J20" s="11">
        <f t="shared" si="67"/>
        <v>6.635318704284221E-2</v>
      </c>
      <c r="K20" s="11">
        <f t="shared" si="67"/>
        <v>0.13038793103448265</v>
      </c>
      <c r="L20" s="11">
        <f t="shared" si="67"/>
        <v>8.4869059165858296E-2</v>
      </c>
      <c r="M20" s="11">
        <f t="shared" si="67"/>
        <v>0.10608424336973488</v>
      </c>
      <c r="N20" s="11">
        <f t="shared" si="67"/>
        <v>0.15923566878980888</v>
      </c>
      <c r="O20" s="11">
        <f t="shared" si="67"/>
        <v>0.10390848427073407</v>
      </c>
      <c r="P20" s="11">
        <f t="shared" si="67"/>
        <v>-1.3410818059901297E-3</v>
      </c>
      <c r="Q20" s="11">
        <f t="shared" si="67"/>
        <v>-7.5223319228960861E-3</v>
      </c>
      <c r="R20" s="11">
        <f t="shared" si="67"/>
        <v>-2.9585798816568198E-3</v>
      </c>
      <c r="S20" s="11">
        <f t="shared" ref="S20" si="68">S7/O7-1</f>
        <v>-7.426597582037997E-2</v>
      </c>
      <c r="T20" s="11">
        <f t="shared" ref="T20" si="69">T7/P7-1</f>
        <v>5.0000000000000044E-2</v>
      </c>
      <c r="U20" s="11">
        <f t="shared" ref="U20" si="70">U7/Q7-1</f>
        <v>0.14999999999999991</v>
      </c>
      <c r="V20" s="11">
        <f t="shared" ref="V20" si="71">V7/R7-1</f>
        <v>5.0000000000000044E-2</v>
      </c>
      <c r="Y20" s="11">
        <f>Y7/X7-1</f>
        <v>0.11107978573442345</v>
      </c>
      <c r="Z20" s="11">
        <f t="shared" ref="Z20:AK20" si="72">Z7/Y7-1</f>
        <v>0.1200202994163917</v>
      </c>
      <c r="AA20" s="11">
        <f t="shared" si="72"/>
        <v>2.1748980516538285E-2</v>
      </c>
      <c r="AB20" s="11">
        <f t="shared" si="72"/>
        <v>4.1496674057649896E-2</v>
      </c>
      <c r="AC20" s="11">
        <f t="shared" si="72"/>
        <v>5.0000000000000044E-2</v>
      </c>
      <c r="AD20" s="11">
        <f t="shared" si="72"/>
        <v>5.0000000000000044E-2</v>
      </c>
      <c r="AE20" s="11">
        <f t="shared" si="72"/>
        <v>5.0000000000000044E-2</v>
      </c>
      <c r="AF20" s="11">
        <f t="shared" si="72"/>
        <v>3.0000000000000027E-2</v>
      </c>
      <c r="AG20" s="11">
        <f t="shared" si="72"/>
        <v>3.0000000000000027E-2</v>
      </c>
      <c r="AH20" s="11">
        <f t="shared" si="72"/>
        <v>3.0000000000000027E-2</v>
      </c>
      <c r="AI20" s="11">
        <f t="shared" si="72"/>
        <v>3.0000000000000027E-2</v>
      </c>
      <c r="AJ20" s="11">
        <f t="shared" si="72"/>
        <v>3.0000000000000027E-2</v>
      </c>
      <c r="AK20" s="11">
        <f t="shared" si="72"/>
        <v>3.0000000000000027E-2</v>
      </c>
      <c r="AM20" t="s">
        <v>66</v>
      </c>
      <c r="AN20" s="3">
        <f>NPV(AN19,AB12:ES12)</f>
        <v>292500.65598996368</v>
      </c>
    </row>
    <row r="21" spans="2:40" x14ac:dyDescent="0.3">
      <c r="B21" s="12" t="s">
        <v>52</v>
      </c>
      <c r="C21" s="13">
        <f>C11/C10</f>
        <v>0.23505603985056039</v>
      </c>
      <c r="D21" s="13">
        <f t="shared" ref="D21:G21" si="73">D11/D10</f>
        <v>0.2349507005708355</v>
      </c>
      <c r="E21" s="13">
        <f t="shared" si="73"/>
        <v>0.23504784688995214</v>
      </c>
      <c r="F21" s="13">
        <f t="shared" si="73"/>
        <v>0.18058690744920994</v>
      </c>
      <c r="G21" s="13">
        <f t="shared" si="73"/>
        <v>-8.6302454473475856E-2</v>
      </c>
      <c r="H21" s="13">
        <f t="shared" ref="H21:AK21" si="74">H11/H10</f>
        <v>0.22854291417165667</v>
      </c>
      <c r="I21" s="13">
        <f t="shared" si="74"/>
        <v>0.22756729810568296</v>
      </c>
      <c r="J21" s="13">
        <f t="shared" si="74"/>
        <v>0.18589154411764705</v>
      </c>
      <c r="K21" s="13">
        <f t="shared" si="74"/>
        <v>0.23010546500479387</v>
      </c>
      <c r="L21" s="13">
        <f t="shared" si="74"/>
        <v>0.23003033367037412</v>
      </c>
      <c r="M21" s="13">
        <f t="shared" si="74"/>
        <v>0.22183708838821489</v>
      </c>
      <c r="N21" s="13">
        <f t="shared" si="74"/>
        <v>0.22043309272626319</v>
      </c>
      <c r="O21" s="13">
        <f t="shared" si="74"/>
        <v>0.23003194888178913</v>
      </c>
      <c r="P21" s="13">
        <f t="shared" si="74"/>
        <v>0.23002159827213822</v>
      </c>
      <c r="Q21" s="13">
        <f t="shared" si="74"/>
        <v>0.23002114164904863</v>
      </c>
      <c r="R21" s="13">
        <f t="shared" si="74"/>
        <v>0.32196452933151432</v>
      </c>
      <c r="S21" s="13">
        <f t="shared" ref="S21:V21" si="75">S11/S10</f>
        <v>0.22966162706983442</v>
      </c>
      <c r="T21" s="13">
        <f t="shared" si="75"/>
        <v>0.22</v>
      </c>
      <c r="U21" s="13">
        <f t="shared" si="75"/>
        <v>0.22</v>
      </c>
      <c r="V21" s="13">
        <f t="shared" si="75"/>
        <v>0.22</v>
      </c>
      <c r="X21" s="13">
        <f t="shared" si="74"/>
        <v>0.22225959921187949</v>
      </c>
      <c r="Y21" s="13">
        <f t="shared" si="74"/>
        <v>0.19099686680734063</v>
      </c>
      <c r="Z21" s="13">
        <f t="shared" si="74"/>
        <v>0.22466283503101347</v>
      </c>
      <c r="AA21" s="13">
        <f t="shared" si="74"/>
        <v>0.39424951267056529</v>
      </c>
      <c r="AB21" s="13">
        <f t="shared" si="74"/>
        <v>0.21869368894384431</v>
      </c>
      <c r="AC21" s="13">
        <f t="shared" si="74"/>
        <v>0.22000000000000003</v>
      </c>
      <c r="AD21" s="13">
        <f t="shared" si="74"/>
        <v>0.22</v>
      </c>
      <c r="AE21" s="13">
        <f t="shared" si="74"/>
        <v>0.22</v>
      </c>
      <c r="AF21" s="13">
        <f t="shared" si="74"/>
        <v>0.22</v>
      </c>
      <c r="AG21" s="13">
        <f t="shared" si="74"/>
        <v>0.22</v>
      </c>
      <c r="AH21" s="13">
        <f t="shared" si="74"/>
        <v>0.22</v>
      </c>
      <c r="AI21" s="13">
        <f t="shared" si="74"/>
        <v>0.22</v>
      </c>
      <c r="AJ21" s="13">
        <f t="shared" si="74"/>
        <v>0.22</v>
      </c>
      <c r="AK21" s="13">
        <f t="shared" si="74"/>
        <v>0.22</v>
      </c>
      <c r="AM21" t="s">
        <v>67</v>
      </c>
      <c r="AN21" s="3">
        <f>Main!D8</f>
        <v>-59174</v>
      </c>
    </row>
    <row r="22" spans="2:40" x14ac:dyDescent="0.3">
      <c r="AM22" t="s">
        <v>68</v>
      </c>
      <c r="AN22" s="3">
        <f>AN20+AN21</f>
        <v>233326.65598996368</v>
      </c>
    </row>
    <row r="23" spans="2:40" x14ac:dyDescent="0.3">
      <c r="AM23" t="s">
        <v>69</v>
      </c>
      <c r="AN23" s="2">
        <f>AN22/AK13</f>
        <v>140.98287370994785</v>
      </c>
    </row>
    <row r="24" spans="2:40" x14ac:dyDescent="0.3">
      <c r="AM24" t="s">
        <v>70</v>
      </c>
      <c r="AN24" s="2">
        <f>Main!D3</f>
        <v>195.4</v>
      </c>
    </row>
    <row r="25" spans="2:40" x14ac:dyDescent="0.3">
      <c r="AM25" s="1" t="s">
        <v>71</v>
      </c>
      <c r="AN25" s="16">
        <f>AN23/AN24-1</f>
        <v>-0.27849092267171005</v>
      </c>
    </row>
    <row r="26" spans="2:40" x14ac:dyDescent="0.3">
      <c r="X26" s="14">
        <f>X3/Main!$D$19</f>
        <v>23761.355103224145</v>
      </c>
      <c r="Y26" s="14">
        <f>Y3/Main!$D$19</f>
        <v>24996.445639679008</v>
      </c>
      <c r="Z26" s="14">
        <f>Z3/Main!$D$19</f>
        <v>27652.317988894902</v>
      </c>
      <c r="AA26" s="14">
        <f>AA3/Main!$D$19</f>
        <v>22220.105629442987</v>
      </c>
      <c r="AB26" s="14">
        <f>AB3/Main!$D$19</f>
        <v>23757.62702117009</v>
      </c>
      <c r="AC26" s="14">
        <f>AC3/Main!$D$19</f>
        <v>26133.389723287102</v>
      </c>
      <c r="AD26" s="14">
        <f>AD3/Main!$D$19</f>
        <v>28224.060901150071</v>
      </c>
      <c r="AE26" s="14">
        <f>AE3/Main!$D$19</f>
        <v>29635.263946207575</v>
      </c>
      <c r="AF26" s="14">
        <f>AF3/Main!$D$19</f>
        <v>30820.674504055878</v>
      </c>
      <c r="AG26" s="14">
        <f>AG3/Main!$D$19</f>
        <v>31745.294739177556</v>
      </c>
      <c r="AH26" s="14">
        <f>AH3/Main!$D$19</f>
        <v>32697.653581352879</v>
      </c>
      <c r="AI26" s="14">
        <f>AI3/Main!$D$19</f>
        <v>33351.606652979935</v>
      </c>
      <c r="AJ26" s="14">
        <f>AJ3/Main!$D$19</f>
        <v>34018.638786039541</v>
      </c>
      <c r="AK26" s="14">
        <f>AK3/Main!$D$19</f>
        <v>34699.01156176033</v>
      </c>
      <c r="AM26" t="s">
        <v>72</v>
      </c>
      <c r="AN26" s="9" t="s">
        <v>73</v>
      </c>
    </row>
    <row r="27" spans="2:40" x14ac:dyDescent="0.3">
      <c r="X27" s="3">
        <f>X4/Main!$D$19</f>
        <v>10919.78756903734</v>
      </c>
      <c r="Y27" s="3">
        <f>Y4/Main!$D$19</f>
        <v>11822.582200291716</v>
      </c>
      <c r="Z27" s="3">
        <f>Z4/Main!$D$19</f>
        <v>13082.740465025914</v>
      </c>
      <c r="AA27" s="3">
        <f>AA4/Main!$D$19</f>
        <v>11106.666889337792</v>
      </c>
      <c r="AB27" s="3">
        <f>AB4/Main!$D$19</f>
        <v>11495.901157334361</v>
      </c>
      <c r="AC27" s="3">
        <f>AC4/Main!$D$19</f>
        <v>12282.693169944938</v>
      </c>
      <c r="AD27" s="3">
        <f>AD4/Main!$D$19</f>
        <v>13265.308623540532</v>
      </c>
      <c r="AE27" s="3">
        <f>AE4/Main!$D$19</f>
        <v>13928.574054717559</v>
      </c>
      <c r="AF27" s="3">
        <f>AF4/Main!$D$19</f>
        <v>14485.717016906261</v>
      </c>
      <c r="AG27" s="3">
        <f>AG4/Main!$D$19</f>
        <v>14602.835580021674</v>
      </c>
      <c r="AH27" s="3">
        <f>AH4/Main!$D$19</f>
        <v>15040.920647422325</v>
      </c>
      <c r="AI27" s="3">
        <f>AI4/Main!$D$19</f>
        <v>15341.739060370772</v>
      </c>
      <c r="AJ27" s="3">
        <f>AJ4/Main!$D$19</f>
        <v>15648.573841578187</v>
      </c>
      <c r="AK27" s="3">
        <f>AK4/Main!$D$19</f>
        <v>15961.545318409751</v>
      </c>
    </row>
    <row r="28" spans="2:40" x14ac:dyDescent="0.3">
      <c r="X28" s="14">
        <f>X5/Main!$D$19</f>
        <v>12841.567534186805</v>
      </c>
      <c r="Y28" s="14">
        <f>Y5/Main!$D$19</f>
        <v>13173.863439387291</v>
      </c>
      <c r="Z28" s="14">
        <f>Z5/Main!$D$19</f>
        <v>14569.577523868988</v>
      </c>
      <c r="AA28" s="14">
        <f>AA5/Main!$D$19</f>
        <v>11113.438740105195</v>
      </c>
      <c r="AB28" s="14">
        <f>AB5/Main!$D$19</f>
        <v>12261.725863835729</v>
      </c>
      <c r="AC28" s="14">
        <f>AC5/Main!$D$19</f>
        <v>13850.696553342163</v>
      </c>
      <c r="AD28" s="14">
        <f>AD5/Main!$D$19</f>
        <v>14958.752277609539</v>
      </c>
      <c r="AE28" s="14">
        <f>AE5/Main!$D$19</f>
        <v>15706.689891490014</v>
      </c>
      <c r="AF28" s="14">
        <f>AF5/Main!$D$19</f>
        <v>16334.957487149615</v>
      </c>
      <c r="AG28" s="14">
        <f>AG5/Main!$D$19</f>
        <v>17142.459159155882</v>
      </c>
      <c r="AH28" s="14">
        <f>AH5/Main!$D$19</f>
        <v>17656.732933930554</v>
      </c>
      <c r="AI28" s="14">
        <f>AI5/Main!$D$19</f>
        <v>18009.867592609167</v>
      </c>
      <c r="AJ28" s="14">
        <f>AJ5/Main!$D$19</f>
        <v>18370.064944461352</v>
      </c>
      <c r="AK28" s="14">
        <f>AK5/Main!$D$19</f>
        <v>18737.46624335058</v>
      </c>
    </row>
    <row r="29" spans="2:40" x14ac:dyDescent="0.3">
      <c r="X29" s="3">
        <f>X6/Main!$D$19</f>
        <v>9555.0814328063861</v>
      </c>
      <c r="Y29" s="3">
        <f>Y6/Main!$D$19</f>
        <v>10396.810602754702</v>
      </c>
      <c r="Z29" s="3">
        <f>Z6/Main!$D$19</f>
        <v>11438.368772541136</v>
      </c>
      <c r="AA29" s="3">
        <f>AA6/Main!$D$19</f>
        <v>9673.6482234356608</v>
      </c>
      <c r="AB29" s="3">
        <f>AB6/Main!$D$19</f>
        <v>9810.1042478785075</v>
      </c>
      <c r="AC29" s="3">
        <f>AC6/Main!$D$19</f>
        <v>10714.689786547711</v>
      </c>
      <c r="AD29" s="3">
        <f>AD6/Main!$D$19</f>
        <v>11571.864969471528</v>
      </c>
      <c r="AE29" s="3">
        <f>AE6/Main!$D$19</f>
        <v>11854.10557848303</v>
      </c>
      <c r="AF29" s="3">
        <f>AF6/Main!$D$19</f>
        <v>12328.269801622351</v>
      </c>
      <c r="AG29" s="3">
        <f>AG6/Main!$D$19</f>
        <v>12698.117895671023</v>
      </c>
      <c r="AH29" s="3">
        <f>AH6/Main!$D$19</f>
        <v>13079.061432541153</v>
      </c>
      <c r="AI29" s="3">
        <f>AI6/Main!$D$19</f>
        <v>13340.642661191976</v>
      </c>
      <c r="AJ29" s="3">
        <f>AJ6/Main!$D$19</f>
        <v>13607.455514415817</v>
      </c>
      <c r="AK29" s="3">
        <f>AK6/Main!$D$19</f>
        <v>13879.604624704132</v>
      </c>
    </row>
    <row r="30" spans="2:40" x14ac:dyDescent="0.3">
      <c r="X30" s="3">
        <f>X7/Main!$D$19</f>
        <v>842.79840954316956</v>
      </c>
      <c r="Y30" s="3">
        <f>Y7/Main!$D$19</f>
        <v>936.41627629253776</v>
      </c>
      <c r="Z30" s="3">
        <f>Z7/Main!$D$19</f>
        <v>1048.8052381515508</v>
      </c>
      <c r="AA30" s="3">
        <f>AA7/Main!$D$19</f>
        <v>1071.615682841752</v>
      </c>
      <c r="AB30" s="3">
        <f>AB7/Main!$D$19</f>
        <v>1116.084169547702</v>
      </c>
      <c r="AC30" s="3">
        <f>AC7/Main!$D$19</f>
        <v>1171.8883780250871</v>
      </c>
      <c r="AD30" s="3">
        <f>AD7/Main!$D$19</f>
        <v>1230.4827969263415</v>
      </c>
      <c r="AE30" s="3">
        <f>AE7/Main!$D$19</f>
        <v>1292.0069367726587</v>
      </c>
      <c r="AF30" s="3">
        <f>AF7/Main!$D$19</f>
        <v>1330.7671448758383</v>
      </c>
      <c r="AG30" s="3">
        <f>AG7/Main!$D$19</f>
        <v>1370.6901592221134</v>
      </c>
      <c r="AH30" s="3">
        <f>AH7/Main!$D$19</f>
        <v>1411.810863998777</v>
      </c>
      <c r="AI30" s="3">
        <f>AI7/Main!$D$19</f>
        <v>1454.1651899187402</v>
      </c>
      <c r="AJ30" s="3">
        <f>AJ7/Main!$D$19</f>
        <v>1497.7901456163024</v>
      </c>
      <c r="AK30" s="3">
        <f>AK7/Main!$D$19</f>
        <v>1542.7238499847915</v>
      </c>
    </row>
    <row r="31" spans="2:40" x14ac:dyDescent="0.3">
      <c r="X31" s="14">
        <f>X8/Main!$D$19</f>
        <v>2443.6876918372504</v>
      </c>
      <c r="Y31" s="14">
        <f>Y8/Main!$D$19</f>
        <v>1840.6365603400516</v>
      </c>
      <c r="Z31" s="14">
        <f>Z8/Main!$D$19</f>
        <v>2082.4035131763007</v>
      </c>
      <c r="AA31" s="14">
        <f>AA8/Main!$D$19</f>
        <v>368.17483382778158</v>
      </c>
      <c r="AB31" s="14">
        <f>AB8/Main!$D$19</f>
        <v>1335.5374464095191</v>
      </c>
      <c r="AC31" s="14">
        <f>AC8/Main!$D$19</f>
        <v>1964.1183887693653</v>
      </c>
      <c r="AD31" s="14">
        <f>AD8/Main!$D$19</f>
        <v>2156.4045112116687</v>
      </c>
      <c r="AE31" s="14">
        <f>AE8/Main!$D$19</f>
        <v>2560.5773762343256</v>
      </c>
      <c r="AF31" s="14">
        <f>AF8/Main!$D$19</f>
        <v>2675.9205406514247</v>
      </c>
      <c r="AG31" s="14">
        <f>AG8/Main!$D$19</f>
        <v>3073.6511042627458</v>
      </c>
      <c r="AH31" s="14">
        <f>AH8/Main!$D$19</f>
        <v>3165.8606373906255</v>
      </c>
      <c r="AI31" s="14">
        <f>AI8/Main!$D$19</f>
        <v>3215.0597414984509</v>
      </c>
      <c r="AJ31" s="14">
        <f>AJ8/Main!$D$19</f>
        <v>3264.8192844292325</v>
      </c>
      <c r="AK31" s="14">
        <f>AK8/Main!$D$19</f>
        <v>3315.1377686616552</v>
      </c>
    </row>
    <row r="32" spans="2:40" x14ac:dyDescent="0.3">
      <c r="X32" s="3">
        <f>X9/Main!$D$19</f>
        <v>-28.51305586275172</v>
      </c>
      <c r="Y32" s="3">
        <f>Y9/Main!$D$19</f>
        <v>-17.345442316507295</v>
      </c>
      <c r="Z32" s="3">
        <f>Z9/Main!$D$19</f>
        <v>-5.3461979742659471</v>
      </c>
      <c r="AA32" s="3">
        <f>AA9/Main!$D$19</f>
        <v>124.38820620125438</v>
      </c>
      <c r="AB32" s="3">
        <f>AB9/Main!$D$19</f>
        <v>115.03561201672329</v>
      </c>
      <c r="AC32" s="3">
        <f>AC9/Main!$D$19</f>
        <v>92.028489613378653</v>
      </c>
      <c r="AD32" s="3">
        <f>AD9/Main!$D$19</f>
        <v>73.622791690702925</v>
      </c>
      <c r="AE32" s="3">
        <f>AE9/Main!$D$19</f>
        <v>58.898233352562343</v>
      </c>
      <c r="AF32" s="3">
        <f>AF9/Main!$D$19</f>
        <v>47.118586682049873</v>
      </c>
      <c r="AG32" s="3">
        <f>AG9/Main!$D$19</f>
        <v>37.694869345639901</v>
      </c>
      <c r="AH32" s="3">
        <f>AH9/Main!$D$19</f>
        <v>30.155895476511922</v>
      </c>
      <c r="AI32" s="3">
        <f>AI9/Main!$D$19</f>
        <v>24.124716381209542</v>
      </c>
      <c r="AJ32" s="3">
        <f>AJ9/Main!$D$19</f>
        <v>19.299773104967635</v>
      </c>
      <c r="AK32" s="3">
        <f>AK9/Main!$D$19</f>
        <v>15.439818483974109</v>
      </c>
    </row>
    <row r="33" spans="24:37" x14ac:dyDescent="0.3">
      <c r="X33" s="14">
        <f>X10/Main!$D$19</f>
        <v>2472.200747700002</v>
      </c>
      <c r="Y33" s="14">
        <f>Y10/Main!$D$19</f>
        <v>1857.982002656559</v>
      </c>
      <c r="Z33" s="14">
        <f>Z10/Main!$D$19</f>
        <v>2087.7497111505663</v>
      </c>
      <c r="AA33" s="14">
        <f>AA10/Main!$D$19</f>
        <v>243.78662762652721</v>
      </c>
      <c r="AB33" s="14">
        <f>AB10/Main!$D$19</f>
        <v>1220.5018343927957</v>
      </c>
      <c r="AC33" s="14">
        <f>AC10/Main!$D$19</f>
        <v>1872.0898991559866</v>
      </c>
      <c r="AD33" s="14">
        <f>AD10/Main!$D$19</f>
        <v>2082.7817195209655</v>
      </c>
      <c r="AE33" s="14">
        <f>AE10/Main!$D$19</f>
        <v>2501.6791428817633</v>
      </c>
      <c r="AF33" s="14">
        <f>AF10/Main!$D$19</f>
        <v>2628.8019539693751</v>
      </c>
      <c r="AG33" s="14">
        <f>AG10/Main!$D$19</f>
        <v>3035.9562349171056</v>
      </c>
      <c r="AH33" s="14">
        <f>AH10/Main!$D$19</f>
        <v>3135.7047419141136</v>
      </c>
      <c r="AI33" s="14">
        <f>AI10/Main!$D$19</f>
        <v>3190.9350251172414</v>
      </c>
      <c r="AJ33" s="14">
        <f>AJ10/Main!$D$19</f>
        <v>3245.5195113242648</v>
      </c>
      <c r="AK33" s="14">
        <f>AK10/Main!$D$19</f>
        <v>3299.6979501776809</v>
      </c>
    </row>
    <row r="34" spans="24:37" x14ac:dyDescent="0.3">
      <c r="X34" s="3">
        <f>X11/Main!$D$19</f>
        <v>549.47034735511124</v>
      </c>
      <c r="Y34" s="3">
        <f>Y11/Main!$D$19</f>
        <v>354.86874109183077</v>
      </c>
      <c r="Z34" s="3">
        <f>Z11/Main!$D$19</f>
        <v>469.03976894226577</v>
      </c>
      <c r="AA34" s="3">
        <f>AA11/Main!$D$19</f>
        <v>96.112759137358921</v>
      </c>
      <c r="AB34" s="3">
        <f>AB11/Main!$D$19</f>
        <v>266.91604852608947</v>
      </c>
      <c r="AC34" s="3">
        <f>AC11/Main!$D$19</f>
        <v>411.85977781431706</v>
      </c>
      <c r="AD34" s="3">
        <f>AD11/Main!$D$19</f>
        <v>458.21197829461244</v>
      </c>
      <c r="AE34" s="3">
        <f>AE11/Main!$D$19</f>
        <v>550.36941143398792</v>
      </c>
      <c r="AF34" s="3">
        <f>AF11/Main!$D$19</f>
        <v>578.33642987326243</v>
      </c>
      <c r="AG34" s="3">
        <f>AG11/Main!$D$19</f>
        <v>667.91037168176331</v>
      </c>
      <c r="AH34" s="3">
        <f>AH11/Main!$D$19</f>
        <v>689.85504322110501</v>
      </c>
      <c r="AI34" s="3">
        <f>AI11/Main!$D$19</f>
        <v>702.00570552579313</v>
      </c>
      <c r="AJ34" s="3">
        <f>AJ11/Main!$D$19</f>
        <v>714.01429249133832</v>
      </c>
      <c r="AK34" s="3">
        <f>AK11/Main!$D$19</f>
        <v>725.93354903908983</v>
      </c>
    </row>
    <row r="35" spans="24:37" x14ac:dyDescent="0.3">
      <c r="X35" s="14">
        <f>X12/Main!$D$19</f>
        <v>1922.730400344891</v>
      </c>
      <c r="Y35" s="14">
        <f>Y12/Main!$D$19</f>
        <v>1503.1132615647282</v>
      </c>
      <c r="Z35" s="14">
        <f>Z12/Main!$D$19</f>
        <v>1618.7099422083006</v>
      </c>
      <c r="AA35" s="14">
        <f>AA12/Main!$D$19</f>
        <v>147.67386848916829</v>
      </c>
      <c r="AB35" s="14">
        <f>AB12/Main!$D$19</f>
        <v>953.58578586670637</v>
      </c>
      <c r="AC35" s="14">
        <f>AC12/Main!$D$19</f>
        <v>1460.2301213416695</v>
      </c>
      <c r="AD35" s="14">
        <f>AD12/Main!$D$19</f>
        <v>1624.5697412263532</v>
      </c>
      <c r="AE35" s="14">
        <f>AE12/Main!$D$19</f>
        <v>1951.3097314477754</v>
      </c>
      <c r="AF35" s="14">
        <f>AF12/Main!$D$19</f>
        <v>2050.4655240961124</v>
      </c>
      <c r="AG35" s="14">
        <f>AG12/Main!$D$19</f>
        <v>2368.0458632353425</v>
      </c>
      <c r="AH35" s="14">
        <f>AH12/Main!$D$19</f>
        <v>2445.8496986930086</v>
      </c>
      <c r="AI35" s="14">
        <f>AI12/Main!$D$19</f>
        <v>2488.9293195914483</v>
      </c>
      <c r="AJ35" s="14">
        <f>AJ12/Main!$D$19</f>
        <v>2531.5052188329264</v>
      </c>
      <c r="AK35" s="14">
        <f>AK12/Main!$D$19</f>
        <v>2573.764401138591</v>
      </c>
    </row>
    <row r="36" spans="24:37" x14ac:dyDescent="0.3"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24:37" x14ac:dyDescent="0.3"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24:37" x14ac:dyDescent="0.3"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24:37" x14ac:dyDescent="0.3"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4:37" x14ac:dyDescent="0.3"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4:37" x14ac:dyDescent="0.3"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24:37" x14ac:dyDescent="0.3"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07125-3DF2-4F80-8DDD-C781DD6B9927}">
  <dimension ref="A1:K2"/>
  <sheetViews>
    <sheetView topLeftCell="G1" workbookViewId="0">
      <selection activeCell="G2" sqref="G2"/>
    </sheetView>
  </sheetViews>
  <sheetFormatPr defaultRowHeight="14.4" x14ac:dyDescent="0.3"/>
  <cols>
    <col min="1" max="1" width="20.88671875" bestFit="1" customWidth="1"/>
    <col min="2" max="2" width="31.77734375" bestFit="1" customWidth="1"/>
    <col min="3" max="3" width="35.44140625" bestFit="1" customWidth="1"/>
    <col min="4" max="4" width="15.6640625" bestFit="1" customWidth="1"/>
    <col min="5" max="5" width="14.6640625" bestFit="1" customWidth="1"/>
    <col min="6" max="6" width="12.109375" bestFit="1" customWidth="1"/>
    <col min="7" max="7" width="15.88671875" bestFit="1" customWidth="1"/>
    <col min="8" max="8" width="13.21875" bestFit="1" customWidth="1"/>
    <col min="9" max="9" width="15" bestFit="1" customWidth="1"/>
    <col min="10" max="10" width="13" bestFit="1" customWidth="1"/>
    <col min="11" max="11" width="35.44140625" bestFit="1" customWidth="1"/>
    <col min="12" max="12" width="14.6640625" bestFit="1" customWidth="1"/>
    <col min="13" max="14" width="15.6640625" bestFit="1" customWidth="1"/>
  </cols>
  <sheetData>
    <row r="1" spans="1:11" x14ac:dyDescent="0.3">
      <c r="A1" s="4" t="s">
        <v>8</v>
      </c>
      <c r="B1" s="4" t="s">
        <v>9</v>
      </c>
      <c r="C1" s="4" t="s">
        <v>10</v>
      </c>
      <c r="D1" s="4" t="s">
        <v>12</v>
      </c>
      <c r="E1" s="4" t="s">
        <v>11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3">
      <c r="A2" s="4" t="s">
        <v>74</v>
      </c>
      <c r="B2" s="4" t="s">
        <v>20</v>
      </c>
      <c r="C2" s="4" t="s">
        <v>75</v>
      </c>
      <c r="D2" s="5">
        <v>44230.625011574077</v>
      </c>
      <c r="E2" s="4" t="s">
        <v>13</v>
      </c>
      <c r="F2" s="4" t="s">
        <v>21</v>
      </c>
      <c r="G2" s="4" t="s">
        <v>22</v>
      </c>
      <c r="H2" s="4" t="s">
        <v>23</v>
      </c>
      <c r="I2">
        <v>8.4171967100000007</v>
      </c>
      <c r="J2">
        <v>0.1188044</v>
      </c>
      <c r="K2" s="4" t="s">
        <v>76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7AD47D-B241-4C15-9369-AF8968B861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2020-12-09T20:11:07Z</dcterms:created>
  <dcterms:modified xsi:type="dcterms:W3CDTF">2021-04-03T16:55:06Z</dcterms:modified>
</cp:coreProperties>
</file>