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6F5F46E2-2194-4012-9B79-747CF1B5D740}" xr6:coauthVersionLast="46" xr6:coauthVersionMax="46" xr10:uidLastSave="{00000000-0000-0000-0000-000000000000}"/>
  <bookViews>
    <workbookView xWindow="-108" yWindow="-108" windowWidth="23256" windowHeight="12576" activeTab="1" xr2:uid="{C4BF79F1-8F77-4375-9B67-0BA0B548E64B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2" l="1"/>
  <c r="J3" i="2"/>
  <c r="I3" i="2"/>
  <c r="P6" i="2"/>
  <c r="Q6" i="2" s="1"/>
  <c r="R6" i="2" s="1"/>
  <c r="S6" i="2" s="1"/>
  <c r="T6" i="2" s="1"/>
  <c r="U6" i="2" s="1"/>
  <c r="V6" i="2" s="1"/>
  <c r="W6" i="2" s="1"/>
  <c r="V7" i="2" l="1"/>
  <c r="W7" i="2" s="1"/>
  <c r="X7" i="2" s="1"/>
  <c r="X6" i="2"/>
  <c r="U7" i="2"/>
  <c r="T7" i="2"/>
  <c r="S7" i="2"/>
  <c r="P7" i="2"/>
  <c r="P21" i="2"/>
  <c r="O21" i="2"/>
  <c r="N21" i="2"/>
  <c r="M21" i="2"/>
  <c r="O12" i="2"/>
  <c r="O9" i="2"/>
  <c r="J7" i="2"/>
  <c r="J21" i="2" s="1"/>
  <c r="I7" i="2"/>
  <c r="I21" i="2" s="1"/>
  <c r="I18" i="2"/>
  <c r="G18" i="2"/>
  <c r="G17" i="2"/>
  <c r="F17" i="2"/>
  <c r="G21" i="2"/>
  <c r="I20" i="2"/>
  <c r="H20" i="2"/>
  <c r="G20" i="2"/>
  <c r="I6" i="2"/>
  <c r="I5" i="2"/>
  <c r="I8" i="2" s="1"/>
  <c r="I19" i="2" s="1"/>
  <c r="D7" i="1"/>
  <c r="D8" i="1"/>
  <c r="AA22" i="2" s="1"/>
  <c r="D6" i="1"/>
  <c r="H11" i="2"/>
  <c r="H9" i="2"/>
  <c r="H7" i="2"/>
  <c r="H21" i="2" s="1"/>
  <c r="H6" i="2"/>
  <c r="J6" i="2" s="1"/>
  <c r="H4" i="2"/>
  <c r="H3" i="2"/>
  <c r="J5" i="2" s="1"/>
  <c r="J4" i="2" s="1"/>
  <c r="AA25" i="2"/>
  <c r="N9" i="2"/>
  <c r="M20" i="2"/>
  <c r="M17" i="2"/>
  <c r="E17" i="2"/>
  <c r="L12" i="2"/>
  <c r="L7" i="2"/>
  <c r="L5" i="2"/>
  <c r="L18" i="2" s="1"/>
  <c r="D11" i="2"/>
  <c r="D9" i="2"/>
  <c r="D4" i="2"/>
  <c r="D3" i="2"/>
  <c r="C12" i="2"/>
  <c r="C7" i="2"/>
  <c r="E21" i="2" s="1"/>
  <c r="C6" i="2"/>
  <c r="D6" i="2" s="1"/>
  <c r="C5" i="2"/>
  <c r="C8" i="2" s="1"/>
  <c r="C10" i="2" s="1"/>
  <c r="C22" i="2" s="1"/>
  <c r="F11" i="2"/>
  <c r="F9" i="2"/>
  <c r="F7" i="2"/>
  <c r="N7" i="2" s="1"/>
  <c r="F6" i="2"/>
  <c r="N6" i="2" s="1"/>
  <c r="F4" i="2"/>
  <c r="F3" i="2"/>
  <c r="M12" i="2"/>
  <c r="M5" i="2"/>
  <c r="M8" i="2" s="1"/>
  <c r="M10" i="2" s="1"/>
  <c r="M13" i="2" s="1"/>
  <c r="M15" i="2" s="1"/>
  <c r="E12" i="2"/>
  <c r="G12" i="2"/>
  <c r="H12" i="2" s="1"/>
  <c r="E5" i="2"/>
  <c r="E8" i="2" s="1"/>
  <c r="E10" i="2" s="1"/>
  <c r="E22" i="2" s="1"/>
  <c r="G5" i="2"/>
  <c r="D5" i="1"/>
  <c r="F3" i="1"/>
  <c r="O6" i="2" l="1"/>
  <c r="Q20" i="2" s="1"/>
  <c r="J20" i="2"/>
  <c r="H17" i="2"/>
  <c r="O7" i="2"/>
  <c r="Q7" i="2" s="1"/>
  <c r="J8" i="2"/>
  <c r="J18" i="2"/>
  <c r="I17" i="2"/>
  <c r="I10" i="2"/>
  <c r="J17" i="2"/>
  <c r="F20" i="2"/>
  <c r="P9" i="2"/>
  <c r="Q9" i="2" s="1"/>
  <c r="R9" i="2" s="1"/>
  <c r="S9" i="2" s="1"/>
  <c r="T9" i="2" s="1"/>
  <c r="U9" i="2" s="1"/>
  <c r="V9" i="2" s="1"/>
  <c r="W9" i="2" s="1"/>
  <c r="X9" i="2" s="1"/>
  <c r="O3" i="2"/>
  <c r="I4" i="2"/>
  <c r="O4" i="2" s="1"/>
  <c r="D9" i="1"/>
  <c r="N12" i="2"/>
  <c r="P12" i="2" s="1"/>
  <c r="Q12" i="2" s="1"/>
  <c r="R12" i="2" s="1"/>
  <c r="S12" i="2" s="1"/>
  <c r="T12" i="2" s="1"/>
  <c r="U12" i="2" s="1"/>
  <c r="V12" i="2" s="1"/>
  <c r="W12" i="2" s="1"/>
  <c r="X12" i="2" s="1"/>
  <c r="F12" i="2"/>
  <c r="E18" i="2"/>
  <c r="D7" i="2"/>
  <c r="F21" i="2" s="1"/>
  <c r="D12" i="2"/>
  <c r="E19" i="2"/>
  <c r="H5" i="2"/>
  <c r="L8" i="2"/>
  <c r="C19" i="2"/>
  <c r="M22" i="2"/>
  <c r="G8" i="2"/>
  <c r="G19" i="2" s="1"/>
  <c r="D5" i="2"/>
  <c r="D18" i="2" s="1"/>
  <c r="E20" i="2"/>
  <c r="F5" i="2"/>
  <c r="F18" i="2" s="1"/>
  <c r="C18" i="2"/>
  <c r="M18" i="2"/>
  <c r="M19" i="2"/>
  <c r="N3" i="2"/>
  <c r="N20" i="2"/>
  <c r="N4" i="2"/>
  <c r="C13" i="2"/>
  <c r="C15" i="2" s="1"/>
  <c r="F8" i="2"/>
  <c r="F19" i="2" s="1"/>
  <c r="E13" i="2"/>
  <c r="E15" i="2" s="1"/>
  <c r="R7" i="2" l="1"/>
  <c r="Q21" i="2"/>
  <c r="I11" i="2"/>
  <c r="I13" i="2" s="1"/>
  <c r="I15" i="2" s="1"/>
  <c r="H8" i="2"/>
  <c r="H19" i="2" s="1"/>
  <c r="H18" i="2"/>
  <c r="O20" i="2"/>
  <c r="J19" i="2"/>
  <c r="J10" i="2"/>
  <c r="O5" i="2"/>
  <c r="O8" i="2" s="1"/>
  <c r="O10" i="2" s="1"/>
  <c r="P20" i="2"/>
  <c r="Q3" i="2"/>
  <c r="R3" i="2" s="1"/>
  <c r="S3" i="2" s="1"/>
  <c r="D8" i="2"/>
  <c r="D10" i="2" s="1"/>
  <c r="L10" i="2"/>
  <c r="L19" i="2"/>
  <c r="F10" i="2"/>
  <c r="F22" i="2" s="1"/>
  <c r="G10" i="2"/>
  <c r="G22" i="2" s="1"/>
  <c r="N5" i="2"/>
  <c r="N18" i="2" s="1"/>
  <c r="N17" i="2"/>
  <c r="O17" i="2"/>
  <c r="H10" i="2"/>
  <c r="H22" i="2" s="1"/>
  <c r="P17" i="2" l="1"/>
  <c r="P5" i="2"/>
  <c r="P4" i="2" s="1"/>
  <c r="R21" i="2"/>
  <c r="J11" i="2"/>
  <c r="J22" i="2" s="1"/>
  <c r="J13" i="2"/>
  <c r="J15" i="2" s="1"/>
  <c r="I22" i="2"/>
  <c r="O11" i="2"/>
  <c r="O13" i="2" s="1"/>
  <c r="O15" i="2" s="1"/>
  <c r="S20" i="2"/>
  <c r="R20" i="2"/>
  <c r="Q5" i="2"/>
  <c r="Q4" i="2" s="1"/>
  <c r="D19" i="2"/>
  <c r="D13" i="2"/>
  <c r="D15" i="2" s="1"/>
  <c r="D22" i="2"/>
  <c r="F13" i="2"/>
  <c r="F15" i="2" s="1"/>
  <c r="L22" i="2"/>
  <c r="L13" i="2"/>
  <c r="L15" i="2" s="1"/>
  <c r="G13" i="2"/>
  <c r="G15" i="2" s="1"/>
  <c r="N8" i="2"/>
  <c r="N10" i="2" s="1"/>
  <c r="O18" i="2"/>
  <c r="O19" i="2"/>
  <c r="H13" i="2"/>
  <c r="H15" i="2" s="1"/>
  <c r="Q17" i="2"/>
  <c r="N11" i="2"/>
  <c r="P8" i="2" l="1"/>
  <c r="P10" i="2" s="1"/>
  <c r="P18" i="2"/>
  <c r="O22" i="2"/>
  <c r="S21" i="2"/>
  <c r="T20" i="2"/>
  <c r="R5" i="2"/>
  <c r="R4" i="2" s="1"/>
  <c r="N19" i="2"/>
  <c r="N13" i="2"/>
  <c r="N15" i="2" s="1"/>
  <c r="N22" i="2"/>
  <c r="Q8" i="2"/>
  <c r="Q18" i="2"/>
  <c r="R17" i="2"/>
  <c r="P19" i="2" l="1"/>
  <c r="T21" i="2"/>
  <c r="U20" i="2"/>
  <c r="S5" i="2"/>
  <c r="S4" i="2" s="1"/>
  <c r="T3" i="2"/>
  <c r="T5" i="2" s="1"/>
  <c r="R18" i="2"/>
  <c r="R8" i="2"/>
  <c r="P11" i="2"/>
  <c r="P22" i="2" s="1"/>
  <c r="S17" i="2"/>
  <c r="Q10" i="2"/>
  <c r="Q19" i="2"/>
  <c r="U21" i="2" l="1"/>
  <c r="V20" i="2"/>
  <c r="U3" i="2"/>
  <c r="V3" i="2" s="1"/>
  <c r="V5" i="2" s="1"/>
  <c r="P13" i="2"/>
  <c r="P15" i="2" s="1"/>
  <c r="T17" i="2"/>
  <c r="S8" i="2"/>
  <c r="S18" i="2"/>
  <c r="R10" i="2"/>
  <c r="R19" i="2"/>
  <c r="Q11" i="2"/>
  <c r="Q22" i="2" s="1"/>
  <c r="V21" i="2" l="1"/>
  <c r="X20" i="2"/>
  <c r="W20" i="2"/>
  <c r="U5" i="2"/>
  <c r="U4" i="2" s="1"/>
  <c r="Q13" i="2"/>
  <c r="Q15" i="2" s="1"/>
  <c r="R11" i="2"/>
  <c r="R22" i="2" s="1"/>
  <c r="T8" i="2"/>
  <c r="T18" i="2"/>
  <c r="S10" i="2"/>
  <c r="S19" i="2"/>
  <c r="T4" i="2"/>
  <c r="U17" i="2"/>
  <c r="X21" i="2" l="1"/>
  <c r="W21" i="2"/>
  <c r="W3" i="2"/>
  <c r="W5" i="2" s="1"/>
  <c r="V17" i="2"/>
  <c r="V4" i="2"/>
  <c r="R13" i="2"/>
  <c r="R15" i="2" s="1"/>
  <c r="U8" i="2"/>
  <c r="U18" i="2"/>
  <c r="S11" i="2"/>
  <c r="S22" i="2" s="1"/>
  <c r="T10" i="2"/>
  <c r="T19" i="2"/>
  <c r="S13" i="2" l="1"/>
  <c r="S15" i="2" s="1"/>
  <c r="X3" i="2"/>
  <c r="X5" i="2" s="1"/>
  <c r="W17" i="2"/>
  <c r="W4" i="2"/>
  <c r="V8" i="2"/>
  <c r="V18" i="2"/>
  <c r="U10" i="2"/>
  <c r="U19" i="2"/>
  <c r="T11" i="2"/>
  <c r="T22" i="2" s="1"/>
  <c r="T13" i="2" l="1"/>
  <c r="T15" i="2" s="1"/>
  <c r="W8" i="2"/>
  <c r="W18" i="2"/>
  <c r="U11" i="2"/>
  <c r="U22" i="2" s="1"/>
  <c r="V19" i="2"/>
  <c r="V10" i="2"/>
  <c r="X17" i="2"/>
  <c r="V11" i="2" l="1"/>
  <c r="V22" i="2" s="1"/>
  <c r="X4" i="2"/>
  <c r="X8" i="2"/>
  <c r="X18" i="2"/>
  <c r="U13" i="2"/>
  <c r="U15" i="2" s="1"/>
  <c r="W10" i="2"/>
  <c r="W19" i="2"/>
  <c r="V13" i="2" l="1"/>
  <c r="V15" i="2" s="1"/>
  <c r="W11" i="2"/>
  <c r="W22" i="2" s="1"/>
  <c r="X10" i="2"/>
  <c r="X19" i="2"/>
  <c r="X11" i="2" l="1"/>
  <c r="X22" i="2" s="1"/>
  <c r="W13" i="2"/>
  <c r="W15" i="2" s="1"/>
  <c r="X13" i="2" l="1"/>
  <c r="X15" i="2" s="1"/>
  <c r="Y13" i="2" l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AA21" i="2" s="1"/>
  <c r="AA23" i="2" s="1"/>
  <c r="AA24" i="2" s="1"/>
  <c r="AA26" i="2" s="1"/>
</calcChain>
</file>

<file path=xl/sharedStrings.xml><?xml version="1.0" encoding="utf-8"?>
<sst xmlns="http://schemas.openxmlformats.org/spreadsheetml/2006/main" count="51" uniqueCount="46">
  <si>
    <t>HRMS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</si>
  <si>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</si>
  <si>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</si>
  <si>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</si>
  <si>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</si>
  <si>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</si>
  <si>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</si>
  <si>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</si>
  <si>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</si>
  <si>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</si>
  <si>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Earnings</t>
  </si>
  <si>
    <t>H120</t>
  </si>
  <si>
    <t>Revenue</t>
  </si>
  <si>
    <t>H118</t>
  </si>
  <si>
    <t>H218</t>
  </si>
  <si>
    <t>H119</t>
  </si>
  <si>
    <t>H219</t>
  </si>
  <si>
    <t>H220</t>
  </si>
  <si>
    <t>Cost of sales</t>
  </si>
  <si>
    <t>Gross profit</t>
  </si>
  <si>
    <t>SG&amp;A</t>
  </si>
  <si>
    <t>Other operating expenses</t>
  </si>
  <si>
    <t>Operating profit</t>
  </si>
  <si>
    <t>Net financial expense</t>
  </si>
  <si>
    <t>Pretax profit</t>
  </si>
  <si>
    <t>Taxes</t>
  </si>
  <si>
    <t>MI</t>
  </si>
  <si>
    <t>Net profit</t>
  </si>
  <si>
    <t>EPS</t>
  </si>
  <si>
    <t>Revenue y/y</t>
  </si>
  <si>
    <t>Gross Margin</t>
  </si>
  <si>
    <t>Operating Margin</t>
  </si>
  <si>
    <t>SG&amp;A y/y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</si>
  <si>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</si>
  <si>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</si>
  <si>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</si>
  <si>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</si>
  <si>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</si>
  <si>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</si>
  <si>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</si>
  <si>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</si>
  <si>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</si>
  <si>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Overvalued</t>
  </si>
  <si>
    <t>H121</t>
  </si>
  <si>
    <t>H221</t>
  </si>
  <si>
    <t>Operating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</si>
</sst>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1" fillId="0" borderId="0" xfId="0" applyNumberFormat="1" applyFont="1"/>
    <xf numFmtId="3" fontId="1" fillId="0" borderId="0" xfId="0" applyNumberFormat="1" applyFont="1"/>
    <xf numFmtId="3" fontId="0" fillId="0" borderId="0" xfId="0" applyNumberFormat="1" applyFont="1"/>
    <xf numFmtId="0" fontId="0" fillId="0" borderId="0" xfId="0" applyFont="1"/>
    <xf numFmtId="9" fontId="0" fillId="0" borderId="0" xfId="0" applyNumberForma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0</xdr:row>
      <xdr:rowOff>0</xdr:rowOff>
    </xdr:from>
    <xdr:to>
      <xdr:col>8</xdr:col>
      <xdr:colOff>30480</xdr:colOff>
      <xdr:row>34</xdr:row>
      <xdr:rowOff>68580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DD418EE-1F65-4F2D-87D2-65719F1D625C}"/>
            </a:ext>
          </a:extLst>
        </xdr:cNvPr>
        <xdr:cNvCxnSpPr/>
      </xdr:nvCxnSpPr>
      <xdr:spPr>
        <a:xfrm>
          <a:off x="5814060" y="0"/>
          <a:ext cx="0" cy="6103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245C-3D80-43F1-8008-E1114DAEB8E9}">
  <dimension ref="B2:G9"/>
  <sheetViews>
    <sheetView workbookViewId="0">
      <selection activeCell="D4" sqref="D4"/>
    </sheetView>
  </sheetViews>
  <sheetFormatPr defaultRowHeight="14.4" x14ac:dyDescent="0.3"/>
  <cols>
    <col min="4" max="4" width="9.44140625" bestFit="1" customWidth="1"/>
    <col min="5" max="7" width="15.77734375" style="2" customWidth="1"/>
  </cols>
  <sheetData>
    <row r="2" spans="2:7" x14ac:dyDescent="0.3">
      <c r="E2" s="2" t="s">
        <v>8</v>
      </c>
      <c r="F2" s="2" t="s">
        <v>9</v>
      </c>
      <c r="G2" s="2" t="s">
        <v>10</v>
      </c>
    </row>
    <row r="3" spans="2:7" x14ac:dyDescent="0.3">
      <c r="B3" s="1" t="s">
        <v>0</v>
      </c>
      <c r="C3" t="s">
        <v>1</v>
      </c>
      <c r="D3" s="4">
        <v>1049.08</v>
      </c>
      <c r="E3" s="3">
        <v>44312</v>
      </c>
      <c r="F3" s="3">
        <f ca="1">TODAY()</f>
        <v>44312</v>
      </c>
      <c r="G3" s="3">
        <v>44407</v>
      </c>
    </row>
    <row r="4" spans="2:7" x14ac:dyDescent="0.3">
      <c r="C4" t="s">
        <v>2</v>
      </c>
      <c r="D4" s="5">
        <v>105.569</v>
      </c>
      <c r="E4" s="2" t="s">
        <v>17</v>
      </c>
    </row>
    <row r="5" spans="2:7" x14ac:dyDescent="0.3">
      <c r="C5" t="s">
        <v>3</v>
      </c>
      <c r="D5" s="5">
        <f>D3*D4</f>
        <v>110750.32651999999</v>
      </c>
    </row>
    <row r="6" spans="2:7" x14ac:dyDescent="0.3">
      <c r="C6" t="s">
        <v>4</v>
      </c>
      <c r="D6" s="5">
        <f>4732.7+48.8</f>
        <v>4781.5</v>
      </c>
      <c r="E6" s="2" t="s">
        <v>17</v>
      </c>
    </row>
    <row r="7" spans="2:7" x14ac:dyDescent="0.3">
      <c r="C7" t="s">
        <v>5</v>
      </c>
      <c r="D7" s="5">
        <f>18.4+24.5</f>
        <v>42.9</v>
      </c>
      <c r="E7" s="2" t="s">
        <v>17</v>
      </c>
    </row>
    <row r="8" spans="2:7" x14ac:dyDescent="0.3">
      <c r="C8" t="s">
        <v>6</v>
      </c>
      <c r="D8" s="5">
        <f>D6-D7</f>
        <v>4738.6000000000004</v>
      </c>
    </row>
    <row r="9" spans="2:7" x14ac:dyDescent="0.3">
      <c r="C9" t="s">
        <v>7</v>
      </c>
      <c r="D9" s="5">
        <f>D5-D8</f>
        <v>106011.72651999998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74AD-DD33-4B7E-8233-5E79767483A9}">
  <dimension ref="B2:EV27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G3" sqref="G3"/>
    </sheetView>
  </sheetViews>
  <sheetFormatPr defaultRowHeight="14.4" x14ac:dyDescent="0.3"/>
  <cols>
    <col min="2" max="2" width="22.109375" bestFit="1" customWidth="1"/>
    <col min="26" max="26" width="11.88671875" bestFit="1" customWidth="1"/>
    <col min="27" max="27" width="16.44140625" bestFit="1" customWidth="1"/>
  </cols>
  <sheetData>
    <row r="2" spans="2:152" x14ac:dyDescent="0.3">
      <c r="C2" s="6" t="s">
        <v>13</v>
      </c>
      <c r="D2" s="6" t="s">
        <v>14</v>
      </c>
      <c r="E2" s="6" t="s">
        <v>15</v>
      </c>
      <c r="F2" s="6" t="s">
        <v>16</v>
      </c>
      <c r="G2" s="6" t="s">
        <v>11</v>
      </c>
      <c r="H2" s="6" t="s">
        <v>17</v>
      </c>
      <c r="I2" s="6" t="s">
        <v>43</v>
      </c>
      <c r="J2" s="6" t="s">
        <v>44</v>
      </c>
      <c r="L2">
        <v>2018</v>
      </c>
      <c r="M2">
        <v>2019</v>
      </c>
      <c r="N2">
        <v>2020</v>
      </c>
      <c r="O2">
        <v>2021</v>
      </c>
      <c r="P2">
        <v>2022</v>
      </c>
      <c r="Q2">
        <v>2023</v>
      </c>
      <c r="R2">
        <v>2024</v>
      </c>
      <c r="S2">
        <v>2025</v>
      </c>
      <c r="T2">
        <v>2026</v>
      </c>
      <c r="U2">
        <v>2027</v>
      </c>
      <c r="V2">
        <v>2028</v>
      </c>
      <c r="W2">
        <v>2029</v>
      </c>
      <c r="X2">
        <v>2030</v>
      </c>
    </row>
    <row r="3" spans="2:152" s="1" customFormat="1" x14ac:dyDescent="0.3">
      <c r="B3" s="1" t="s">
        <v>12</v>
      </c>
      <c r="C3" s="8">
        <v>2853</v>
      </c>
      <c r="D3" s="8">
        <f>L3-C3</f>
        <v>3113.1000000000004</v>
      </c>
      <c r="E3" s="8">
        <v>3284.2</v>
      </c>
      <c r="F3" s="8">
        <f>M3-E3</f>
        <v>3599.2</v>
      </c>
      <c r="G3" s="8">
        <v>2488</v>
      </c>
      <c r="H3" s="8">
        <f>6389.4-G3</f>
        <v>3901.3999999999996</v>
      </c>
      <c r="I3" s="8">
        <f>G3*1.32</f>
        <v>3284.1600000000003</v>
      </c>
      <c r="J3" s="8">
        <f>H3*1.15</f>
        <v>4486.6099999999997</v>
      </c>
      <c r="K3" s="12"/>
      <c r="L3" s="8">
        <v>5966.1</v>
      </c>
      <c r="M3" s="8">
        <v>6883.4</v>
      </c>
      <c r="N3" s="8">
        <f>SUM(G3:H3)</f>
        <v>6389.4</v>
      </c>
      <c r="O3" s="8">
        <f>SUM(I3:J3)</f>
        <v>7770.77</v>
      </c>
      <c r="P3" s="8">
        <f>O3*1.16</f>
        <v>9014.0931999999993</v>
      </c>
      <c r="Q3" s="8">
        <f>P3*1.12</f>
        <v>10095.784384000001</v>
      </c>
      <c r="R3" s="8">
        <f>Q3*1.09</f>
        <v>11004.404978560002</v>
      </c>
      <c r="S3" s="8">
        <f>R3*1.06</f>
        <v>11664.669277273602</v>
      </c>
      <c r="T3" s="8">
        <f>S3*1.05</f>
        <v>12247.902741137283</v>
      </c>
      <c r="U3" s="8">
        <f>T3*1.05</f>
        <v>12860.297878194147</v>
      </c>
      <c r="V3" s="8">
        <f>U3*1.04</f>
        <v>13374.709793321914</v>
      </c>
      <c r="W3" s="8">
        <f t="shared" ref="W3:X3" si="0">V3*1.03</f>
        <v>13775.951087121572</v>
      </c>
      <c r="X3" s="8">
        <f t="shared" si="0"/>
        <v>14189.229619735219</v>
      </c>
    </row>
    <row r="4" spans="2:152" x14ac:dyDescent="0.3">
      <c r="B4" t="s">
        <v>18</v>
      </c>
      <c r="C4" s="5">
        <v>859</v>
      </c>
      <c r="D4" s="9">
        <f>L4-C4</f>
        <v>932.8</v>
      </c>
      <c r="E4" s="5">
        <v>1029.0999999999999</v>
      </c>
      <c r="F4" s="9">
        <f>M4-E4</f>
        <v>1095.8000000000002</v>
      </c>
      <c r="G4" s="5">
        <v>870.7</v>
      </c>
      <c r="H4" s="5">
        <f>2013.3-G4</f>
        <v>1142.5999999999999</v>
      </c>
      <c r="I4" s="5">
        <f>I3-I5</f>
        <v>985.24800000000005</v>
      </c>
      <c r="J4" s="5">
        <f t="shared" ref="J4" si="1">J3-J5</f>
        <v>1345.9830000000002</v>
      </c>
      <c r="L4" s="5">
        <v>1791.8</v>
      </c>
      <c r="M4" s="5">
        <v>2124.9</v>
      </c>
      <c r="N4" s="9">
        <f>SUM(G4:H4)</f>
        <v>2013.3</v>
      </c>
      <c r="O4" s="9">
        <f>SUM(I4:J4)</f>
        <v>2331.2310000000002</v>
      </c>
      <c r="P4" s="5">
        <f t="shared" ref="P4:X4" si="2">P3-P5</f>
        <v>2704.2279600000002</v>
      </c>
      <c r="Q4" s="5">
        <f t="shared" si="2"/>
        <v>3028.7353152000005</v>
      </c>
      <c r="R4" s="5">
        <f t="shared" si="2"/>
        <v>3301.3214935680007</v>
      </c>
      <c r="S4" s="5">
        <f t="shared" si="2"/>
        <v>3499.4007831820809</v>
      </c>
      <c r="T4" s="5">
        <f t="shared" si="2"/>
        <v>3674.370822341185</v>
      </c>
      <c r="U4" s="5">
        <f t="shared" si="2"/>
        <v>3858.0893634582444</v>
      </c>
      <c r="V4" s="5">
        <f t="shared" si="2"/>
        <v>4012.4129379965743</v>
      </c>
      <c r="W4" s="5">
        <f t="shared" si="2"/>
        <v>4132.7853261364726</v>
      </c>
      <c r="X4" s="5">
        <f t="shared" si="2"/>
        <v>4256.7688859205664</v>
      </c>
    </row>
    <row r="5" spans="2:152" s="1" customFormat="1" x14ac:dyDescent="0.3">
      <c r="B5" s="1" t="s">
        <v>19</v>
      </c>
      <c r="C5" s="8">
        <f t="shared" ref="C5:H5" si="3">C3-C4</f>
        <v>1994</v>
      </c>
      <c r="D5" s="8">
        <f t="shared" si="3"/>
        <v>2180.3000000000002</v>
      </c>
      <c r="E5" s="8">
        <f t="shared" si="3"/>
        <v>2255.1</v>
      </c>
      <c r="F5" s="8">
        <f t="shared" si="3"/>
        <v>2503.3999999999996</v>
      </c>
      <c r="G5" s="8">
        <f t="shared" si="3"/>
        <v>1617.3</v>
      </c>
      <c r="H5" s="8">
        <f t="shared" si="3"/>
        <v>2758.7999999999997</v>
      </c>
      <c r="I5" s="8">
        <f>I3*0.7</f>
        <v>2298.9120000000003</v>
      </c>
      <c r="J5" s="8">
        <f t="shared" ref="J5" si="4">J3*0.7</f>
        <v>3140.6269999999995</v>
      </c>
      <c r="L5" s="8">
        <f>L3-L4</f>
        <v>4174.3</v>
      </c>
      <c r="M5" s="8">
        <f>M3-M4</f>
        <v>4758.5</v>
      </c>
      <c r="N5" s="8">
        <f>N3-N4</f>
        <v>4376.0999999999995</v>
      </c>
      <c r="O5" s="8">
        <f>O3-O4</f>
        <v>5439.5390000000007</v>
      </c>
      <c r="P5" s="8">
        <f t="shared" ref="P5:X5" si="5">P3*0.7</f>
        <v>6309.8652399999992</v>
      </c>
      <c r="Q5" s="8">
        <f t="shared" si="5"/>
        <v>7067.0490688</v>
      </c>
      <c r="R5" s="8">
        <f t="shared" si="5"/>
        <v>7703.0834849920011</v>
      </c>
      <c r="S5" s="8">
        <f t="shared" si="5"/>
        <v>8165.2684940915215</v>
      </c>
      <c r="T5" s="8">
        <f t="shared" si="5"/>
        <v>8573.5319187960977</v>
      </c>
      <c r="U5" s="8">
        <f t="shared" si="5"/>
        <v>9002.208514735903</v>
      </c>
      <c r="V5" s="8">
        <f t="shared" si="5"/>
        <v>9362.2968553253395</v>
      </c>
      <c r="W5" s="8">
        <f t="shared" si="5"/>
        <v>9643.165760985099</v>
      </c>
      <c r="X5" s="8">
        <f t="shared" si="5"/>
        <v>9932.4607338146525</v>
      </c>
    </row>
    <row r="6" spans="2:152" x14ac:dyDescent="0.3">
      <c r="B6" t="s">
        <v>20</v>
      </c>
      <c r="C6" s="5">
        <f>120+611</f>
        <v>731</v>
      </c>
      <c r="D6" s="9">
        <f>L6-C6</f>
        <v>831.3</v>
      </c>
      <c r="E6" s="5">
        <v>842.2</v>
      </c>
      <c r="F6" s="9">
        <f>M6-E6</f>
        <v>973.5</v>
      </c>
      <c r="G6" s="5">
        <v>768.5</v>
      </c>
      <c r="H6" s="5">
        <f>1698.5-G6</f>
        <v>930</v>
      </c>
      <c r="I6" s="5">
        <f>G6*1.1</f>
        <v>845.35</v>
      </c>
      <c r="J6" s="5">
        <f>H6*1.1</f>
        <v>1023.0000000000001</v>
      </c>
      <c r="L6" s="5">
        <v>1562.3</v>
      </c>
      <c r="M6" s="5">
        <v>1815.7</v>
      </c>
      <c r="N6" s="9">
        <f>SUM(G6:H6)</f>
        <v>1698.5</v>
      </c>
      <c r="O6" s="9">
        <f>SUM(I6:J6)</f>
        <v>1868.3500000000001</v>
      </c>
      <c r="P6" s="5">
        <f>O6*1.08</f>
        <v>2017.8180000000002</v>
      </c>
      <c r="Q6" s="5">
        <f>P6*1.06</f>
        <v>2138.8870800000004</v>
      </c>
      <c r="R6" s="5">
        <f>Q6*1.05</f>
        <v>2245.8314340000006</v>
      </c>
      <c r="S6" s="5">
        <f t="shared" ref="S6" si="6">R6*1.03</f>
        <v>2313.2063770200007</v>
      </c>
      <c r="T6" s="5">
        <f t="shared" ref="T6" si="7">S6*1.03</f>
        <v>2382.6025683306007</v>
      </c>
      <c r="U6" s="5">
        <f>T6*1.02</f>
        <v>2430.2546196972125</v>
      </c>
      <c r="V6" s="5">
        <f t="shared" ref="V6:X6" si="8">U6*1.02</f>
        <v>2478.8597120911568</v>
      </c>
      <c r="W6" s="5">
        <f t="shared" si="8"/>
        <v>2528.43690633298</v>
      </c>
      <c r="X6" s="5">
        <f t="shared" si="8"/>
        <v>2579.0056444596398</v>
      </c>
    </row>
    <row r="7" spans="2:152" x14ac:dyDescent="0.3">
      <c r="B7" t="s">
        <v>21</v>
      </c>
      <c r="C7" s="5">
        <f>267-53</f>
        <v>214</v>
      </c>
      <c r="D7" s="9">
        <f>L7-C7</f>
        <v>270.70000000000005</v>
      </c>
      <c r="E7" s="5">
        <v>269</v>
      </c>
      <c r="F7" s="9">
        <f>M7-E7</f>
        <v>335</v>
      </c>
      <c r="G7" s="5">
        <v>314.2</v>
      </c>
      <c r="H7" s="5">
        <f>696.2-G7</f>
        <v>382.00000000000006</v>
      </c>
      <c r="I7" s="5">
        <f>G7*1.13</f>
        <v>355.04599999999994</v>
      </c>
      <c r="J7" s="5">
        <f t="shared" ref="J7" si="9">H7*1.13</f>
        <v>431.66</v>
      </c>
      <c r="L7" s="5">
        <f>536.7-52</f>
        <v>484.70000000000005</v>
      </c>
      <c r="M7" s="5">
        <v>604</v>
      </c>
      <c r="N7" s="9">
        <f>SUM(G7:H7)</f>
        <v>696.2</v>
      </c>
      <c r="O7" s="9">
        <f>SUM(I7:J7)</f>
        <v>786.7059999999999</v>
      </c>
      <c r="P7" s="5">
        <f>O7*1.08</f>
        <v>849.64247999999998</v>
      </c>
      <c r="Q7" s="5">
        <f t="shared" ref="Q7:R7" si="10">P7*1.05</f>
        <v>892.12460399999998</v>
      </c>
      <c r="R7" s="5">
        <f t="shared" si="10"/>
        <v>936.7308342</v>
      </c>
      <c r="S7" s="5">
        <f>R7*1.04</f>
        <v>974.20006756800001</v>
      </c>
      <c r="T7" s="5">
        <f>S7*1.03</f>
        <v>1003.4260695950401</v>
      </c>
      <c r="U7" s="5">
        <f>T7*1.02</f>
        <v>1023.4945909869409</v>
      </c>
      <c r="V7" s="5">
        <f t="shared" ref="V7:X7" si="11">U7*1.02</f>
        <v>1043.9644828066798</v>
      </c>
      <c r="W7" s="5">
        <f t="shared" si="11"/>
        <v>1064.8437724628134</v>
      </c>
      <c r="X7" s="5">
        <f t="shared" si="11"/>
        <v>1086.1406479120697</v>
      </c>
    </row>
    <row r="8" spans="2:152" s="1" customFormat="1" x14ac:dyDescent="0.3">
      <c r="B8" s="1" t="s">
        <v>22</v>
      </c>
      <c r="C8" s="8">
        <f t="shared" ref="C8:J8" si="12">C5-C6-C7</f>
        <v>1049</v>
      </c>
      <c r="D8" s="8">
        <f t="shared" si="12"/>
        <v>1078.3000000000002</v>
      </c>
      <c r="E8" s="8">
        <f t="shared" si="12"/>
        <v>1143.8999999999999</v>
      </c>
      <c r="F8" s="8">
        <f t="shared" si="12"/>
        <v>1194.8999999999996</v>
      </c>
      <c r="G8" s="8">
        <f t="shared" si="12"/>
        <v>534.59999999999991</v>
      </c>
      <c r="H8" s="8">
        <f t="shared" si="12"/>
        <v>1446.7999999999997</v>
      </c>
      <c r="I8" s="8">
        <f t="shared" si="12"/>
        <v>1098.5160000000005</v>
      </c>
      <c r="J8" s="8">
        <f t="shared" si="12"/>
        <v>1685.9669999999994</v>
      </c>
      <c r="L8" s="8">
        <f>L5-L6-L7</f>
        <v>2127.3000000000002</v>
      </c>
      <c r="M8" s="8">
        <f>M5-M6-M7</f>
        <v>2338.8000000000002</v>
      </c>
      <c r="N8" s="8">
        <f>N5-N6-N7</f>
        <v>1981.3999999999994</v>
      </c>
      <c r="O8" s="8">
        <f t="shared" ref="O8:X8" si="13">O5-O6-O7</f>
        <v>2784.4830000000002</v>
      </c>
      <c r="P8" s="8">
        <f t="shared" si="13"/>
        <v>3442.404759999999</v>
      </c>
      <c r="Q8" s="8">
        <f t="shared" si="13"/>
        <v>4036.0373847999995</v>
      </c>
      <c r="R8" s="8">
        <f t="shared" si="13"/>
        <v>4520.5212167920008</v>
      </c>
      <c r="S8" s="8">
        <f t="shared" si="13"/>
        <v>4877.8620495035202</v>
      </c>
      <c r="T8" s="8">
        <f t="shared" si="13"/>
        <v>5187.5032808704573</v>
      </c>
      <c r="U8" s="8">
        <f t="shared" si="13"/>
        <v>5548.4593040517493</v>
      </c>
      <c r="V8" s="8">
        <f t="shared" si="13"/>
        <v>5839.4726604275038</v>
      </c>
      <c r="W8" s="8">
        <f t="shared" si="13"/>
        <v>6049.8850821893066</v>
      </c>
      <c r="X8" s="8">
        <f t="shared" si="13"/>
        <v>6267.3144414429435</v>
      </c>
    </row>
    <row r="9" spans="2:152" x14ac:dyDescent="0.3">
      <c r="B9" t="s">
        <v>23</v>
      </c>
      <c r="C9" s="5">
        <v>18</v>
      </c>
      <c r="D9" s="9">
        <f>L9-C9</f>
        <v>43.8</v>
      </c>
      <c r="E9" s="5">
        <v>16.3</v>
      </c>
      <c r="F9" s="9">
        <f>M9-E9</f>
        <v>52.3</v>
      </c>
      <c r="G9" s="5">
        <v>43.4</v>
      </c>
      <c r="H9" s="5">
        <f>-86.1+91.1-G9</f>
        <v>-38.4</v>
      </c>
      <c r="I9" s="5">
        <v>40</v>
      </c>
      <c r="J9" s="5">
        <v>37</v>
      </c>
      <c r="L9" s="5">
        <v>61.8</v>
      </c>
      <c r="M9" s="5">
        <v>68.599999999999994</v>
      </c>
      <c r="N9" s="9">
        <f>SUM(G9:H9)</f>
        <v>5</v>
      </c>
      <c r="O9" s="9">
        <f>SUM(I9:J9)</f>
        <v>77</v>
      </c>
      <c r="P9" s="5">
        <f t="shared" ref="P9:X9" si="14">O9*0.9</f>
        <v>69.3</v>
      </c>
      <c r="Q9" s="5">
        <f t="shared" si="14"/>
        <v>62.37</v>
      </c>
      <c r="R9" s="5">
        <f t="shared" si="14"/>
        <v>56.132999999999996</v>
      </c>
      <c r="S9" s="5">
        <f t="shared" si="14"/>
        <v>50.5197</v>
      </c>
      <c r="T9" s="5">
        <f t="shared" si="14"/>
        <v>45.467730000000003</v>
      </c>
      <c r="U9" s="5">
        <f t="shared" si="14"/>
        <v>40.920957000000001</v>
      </c>
      <c r="V9" s="5">
        <f t="shared" si="14"/>
        <v>36.8288613</v>
      </c>
      <c r="W9" s="5">
        <f t="shared" si="14"/>
        <v>33.14597517</v>
      </c>
      <c r="X9" s="5">
        <f t="shared" si="14"/>
        <v>29.831377653000001</v>
      </c>
    </row>
    <row r="10" spans="2:152" s="1" customFormat="1" x14ac:dyDescent="0.3">
      <c r="B10" s="1" t="s">
        <v>24</v>
      </c>
      <c r="C10" s="8">
        <f t="shared" ref="C10:J10" si="15">C8-C9</f>
        <v>1031</v>
      </c>
      <c r="D10" s="8">
        <f t="shared" si="15"/>
        <v>1034.5000000000002</v>
      </c>
      <c r="E10" s="8">
        <f t="shared" si="15"/>
        <v>1127.5999999999999</v>
      </c>
      <c r="F10" s="8">
        <f t="shared" si="15"/>
        <v>1142.5999999999997</v>
      </c>
      <c r="G10" s="8">
        <f t="shared" si="15"/>
        <v>491.19999999999993</v>
      </c>
      <c r="H10" s="8">
        <f t="shared" si="15"/>
        <v>1485.1999999999998</v>
      </c>
      <c r="I10" s="8">
        <f t="shared" si="15"/>
        <v>1058.5160000000005</v>
      </c>
      <c r="J10" s="8">
        <f t="shared" si="15"/>
        <v>1648.9669999999994</v>
      </c>
      <c r="L10" s="8">
        <f>L8-L9</f>
        <v>2065.5</v>
      </c>
      <c r="M10" s="8">
        <f>M8-M9</f>
        <v>2270.2000000000003</v>
      </c>
      <c r="N10" s="8">
        <f>N8-N9</f>
        <v>1976.3999999999994</v>
      </c>
      <c r="O10" s="8">
        <f t="shared" ref="O10:X10" si="16">O8-O9</f>
        <v>2707.4830000000002</v>
      </c>
      <c r="P10" s="8">
        <f t="shared" si="16"/>
        <v>3373.1047599999988</v>
      </c>
      <c r="Q10" s="8">
        <f t="shared" si="16"/>
        <v>3973.6673847999996</v>
      </c>
      <c r="R10" s="8">
        <f t="shared" si="16"/>
        <v>4464.388216792001</v>
      </c>
      <c r="S10" s="8">
        <f t="shared" si="16"/>
        <v>4827.3423495035204</v>
      </c>
      <c r="T10" s="8">
        <f t="shared" si="16"/>
        <v>5142.035550870457</v>
      </c>
      <c r="U10" s="8">
        <f t="shared" si="16"/>
        <v>5507.538347051749</v>
      </c>
      <c r="V10" s="8">
        <f t="shared" si="16"/>
        <v>5802.6437991275034</v>
      </c>
      <c r="W10" s="8">
        <f t="shared" si="16"/>
        <v>6016.7391070193062</v>
      </c>
      <c r="X10" s="8">
        <f t="shared" si="16"/>
        <v>6237.4830637899431</v>
      </c>
    </row>
    <row r="11" spans="2:152" x14ac:dyDescent="0.3">
      <c r="B11" t="s">
        <v>25</v>
      </c>
      <c r="C11" s="5">
        <v>335</v>
      </c>
      <c r="D11" s="9">
        <f>L11-C11</f>
        <v>337.20000000000005</v>
      </c>
      <c r="E11" s="5">
        <v>383.4</v>
      </c>
      <c r="F11" s="9">
        <f>M11-E11</f>
        <v>367.6</v>
      </c>
      <c r="G11" s="5">
        <v>160.69999999999999</v>
      </c>
      <c r="H11" s="5">
        <f>613-G11</f>
        <v>452.3</v>
      </c>
      <c r="I11" s="5">
        <f>I10*0.33</f>
        <v>349.3102800000002</v>
      </c>
      <c r="J11" s="5">
        <f t="shared" ref="J11" si="17">J10*0.33</f>
        <v>544.15910999999983</v>
      </c>
      <c r="L11" s="5">
        <v>672.2</v>
      </c>
      <c r="M11" s="5">
        <v>751</v>
      </c>
      <c r="N11" s="9">
        <f>SUM(G11:H11)</f>
        <v>613</v>
      </c>
      <c r="O11" s="9">
        <f>SUM(I11:J11)</f>
        <v>893.46938999999998</v>
      </c>
      <c r="P11" s="5">
        <f t="shared" ref="P11:X11" si="18">P10*0.33</f>
        <v>1113.1245707999997</v>
      </c>
      <c r="Q11" s="5">
        <f t="shared" si="18"/>
        <v>1311.3102369839999</v>
      </c>
      <c r="R11" s="5">
        <f t="shared" si="18"/>
        <v>1473.2481115413605</v>
      </c>
      <c r="S11" s="5">
        <f t="shared" si="18"/>
        <v>1593.0229753361618</v>
      </c>
      <c r="T11" s="5">
        <f t="shared" si="18"/>
        <v>1696.8717317872508</v>
      </c>
      <c r="U11" s="5">
        <f t="shared" si="18"/>
        <v>1817.4876545270772</v>
      </c>
      <c r="V11" s="5">
        <f t="shared" si="18"/>
        <v>1914.8724537120761</v>
      </c>
      <c r="W11" s="5">
        <f t="shared" si="18"/>
        <v>1985.5239053163712</v>
      </c>
      <c r="X11" s="5">
        <f t="shared" si="18"/>
        <v>2058.3694110506813</v>
      </c>
    </row>
    <row r="12" spans="2:152" x14ac:dyDescent="0.3">
      <c r="B12" t="s">
        <v>26</v>
      </c>
      <c r="C12" s="5">
        <f>-12+2</f>
        <v>-10</v>
      </c>
      <c r="D12" s="9">
        <f>L12-C12</f>
        <v>-1.5000000000000018</v>
      </c>
      <c r="E12" s="5">
        <f>-12.8+2.7</f>
        <v>-10.100000000000001</v>
      </c>
      <c r="F12" s="9">
        <f>M12-E12</f>
        <v>1.2000000000000011</v>
      </c>
      <c r="G12" s="5">
        <f>-3-1.4</f>
        <v>-4.4000000000000004</v>
      </c>
      <c r="H12" s="5">
        <f>-16.1+4.1-G12</f>
        <v>-7.6000000000000014</v>
      </c>
      <c r="I12" s="5">
        <v>-4</v>
      </c>
      <c r="J12" s="5">
        <v>-11</v>
      </c>
      <c r="L12" s="5">
        <f>-16.6+5.1</f>
        <v>-11.500000000000002</v>
      </c>
      <c r="M12" s="5">
        <f>-15.9+7</f>
        <v>-8.9</v>
      </c>
      <c r="N12" s="9">
        <f>SUM(G12:H12)</f>
        <v>-12.000000000000002</v>
      </c>
      <c r="O12" s="9">
        <f>SUM(I12:J12)</f>
        <v>-15</v>
      </c>
      <c r="P12" s="5">
        <f t="shared" ref="P12:X12" si="19">O12*1.02</f>
        <v>-15.3</v>
      </c>
      <c r="Q12" s="5">
        <f t="shared" si="19"/>
        <v>-15.606000000000002</v>
      </c>
      <c r="R12" s="5">
        <f t="shared" si="19"/>
        <v>-15.918120000000002</v>
      </c>
      <c r="S12" s="5">
        <f t="shared" si="19"/>
        <v>-16.236482400000003</v>
      </c>
      <c r="T12" s="5">
        <f t="shared" si="19"/>
        <v>-16.561212048000005</v>
      </c>
      <c r="U12" s="5">
        <f t="shared" si="19"/>
        <v>-16.892436288960006</v>
      </c>
      <c r="V12" s="5">
        <f t="shared" si="19"/>
        <v>-17.230285014739206</v>
      </c>
      <c r="W12" s="5">
        <f t="shared" si="19"/>
        <v>-17.574890715033991</v>
      </c>
      <c r="X12" s="5">
        <f t="shared" si="19"/>
        <v>-17.92638852933467</v>
      </c>
    </row>
    <row r="13" spans="2:152" s="1" customFormat="1" x14ac:dyDescent="0.3">
      <c r="B13" s="1" t="s">
        <v>27</v>
      </c>
      <c r="C13" s="8">
        <f t="shared" ref="C13:H13" si="20">C10-C11-C12</f>
        <v>706</v>
      </c>
      <c r="D13" s="8">
        <f t="shared" si="20"/>
        <v>698.80000000000018</v>
      </c>
      <c r="E13" s="8">
        <f t="shared" si="20"/>
        <v>754.3</v>
      </c>
      <c r="F13" s="8">
        <f t="shared" si="20"/>
        <v>773.79999999999961</v>
      </c>
      <c r="G13" s="8">
        <f t="shared" si="20"/>
        <v>334.89999999999992</v>
      </c>
      <c r="H13" s="8">
        <f t="shared" si="20"/>
        <v>1040.4999999999998</v>
      </c>
      <c r="I13" s="8">
        <f t="shared" ref="I13:J13" si="21">I10-I11-I12</f>
        <v>713.20572000000038</v>
      </c>
      <c r="J13" s="8">
        <f t="shared" si="21"/>
        <v>1115.8078899999996</v>
      </c>
      <c r="L13" s="8">
        <f>L10-L11-L12</f>
        <v>1404.8</v>
      </c>
      <c r="M13" s="8">
        <f>M10-M11-M12</f>
        <v>1528.1000000000004</v>
      </c>
      <c r="N13" s="8">
        <f>N10-N11-N12</f>
        <v>1375.3999999999994</v>
      </c>
      <c r="O13" s="8">
        <f>O10-O11-O12</f>
        <v>1829.0136100000002</v>
      </c>
      <c r="P13" s="8">
        <f t="shared" ref="P13:X13" si="22">P10-P11-P12</f>
        <v>2275.2801891999993</v>
      </c>
      <c r="Q13" s="8">
        <f t="shared" si="22"/>
        <v>2677.9631478159999</v>
      </c>
      <c r="R13" s="8">
        <f t="shared" si="22"/>
        <v>3007.0582252506406</v>
      </c>
      <c r="S13" s="8">
        <f t="shared" si="22"/>
        <v>3250.5558565673587</v>
      </c>
      <c r="T13" s="8">
        <f t="shared" si="22"/>
        <v>3461.7250311312064</v>
      </c>
      <c r="U13" s="8">
        <f t="shared" si="22"/>
        <v>3706.943128813632</v>
      </c>
      <c r="V13" s="8">
        <f t="shared" si="22"/>
        <v>3905.0016304301666</v>
      </c>
      <c r="W13" s="8">
        <f t="shared" si="22"/>
        <v>4048.7900924179689</v>
      </c>
      <c r="X13" s="8">
        <f t="shared" si="22"/>
        <v>4197.0400412685967</v>
      </c>
      <c r="Y13" s="1">
        <f>X13*(1+$AA$19)</f>
        <v>4155.0696408559106</v>
      </c>
      <c r="Z13" s="1">
        <f t="shared" ref="Z13:CK13" si="23">Y13*(1+$AA$19)</f>
        <v>4113.5189444473517</v>
      </c>
      <c r="AA13" s="1">
        <f t="shared" si="23"/>
        <v>4072.3837550028779</v>
      </c>
      <c r="AB13" s="1">
        <f t="shared" si="23"/>
        <v>4031.6599174528492</v>
      </c>
      <c r="AC13" s="1">
        <f t="shared" si="23"/>
        <v>3991.3433182783206</v>
      </c>
      <c r="AD13" s="1">
        <f t="shared" si="23"/>
        <v>3951.4298850955374</v>
      </c>
      <c r="AE13" s="1">
        <f t="shared" si="23"/>
        <v>3911.9155862445818</v>
      </c>
      <c r="AF13" s="1">
        <f t="shared" si="23"/>
        <v>3872.7964303821359</v>
      </c>
      <c r="AG13" s="1">
        <f t="shared" si="23"/>
        <v>3834.0684660783145</v>
      </c>
      <c r="AH13" s="1">
        <f t="shared" si="23"/>
        <v>3795.7277814175313</v>
      </c>
      <c r="AI13" s="1">
        <f t="shared" si="23"/>
        <v>3757.7705036033558</v>
      </c>
      <c r="AJ13" s="1">
        <f t="shared" si="23"/>
        <v>3720.1927985673224</v>
      </c>
      <c r="AK13" s="1">
        <f t="shared" si="23"/>
        <v>3682.9908705816492</v>
      </c>
      <c r="AL13" s="1">
        <f t="shared" si="23"/>
        <v>3646.1609618758325</v>
      </c>
      <c r="AM13" s="1">
        <f t="shared" si="23"/>
        <v>3609.6993522570742</v>
      </c>
      <c r="AN13" s="1">
        <f t="shared" si="23"/>
        <v>3573.6023587345035</v>
      </c>
      <c r="AO13" s="1">
        <f t="shared" si="23"/>
        <v>3537.8663351471582</v>
      </c>
      <c r="AP13" s="1">
        <f t="shared" si="23"/>
        <v>3502.4876717956868</v>
      </c>
      <c r="AQ13" s="1">
        <f t="shared" si="23"/>
        <v>3467.4627950777299</v>
      </c>
      <c r="AR13" s="1">
        <f t="shared" si="23"/>
        <v>3432.7881671269524</v>
      </c>
      <c r="AS13" s="1">
        <f t="shared" si="23"/>
        <v>3398.4602854556829</v>
      </c>
      <c r="AT13" s="1">
        <f t="shared" si="23"/>
        <v>3364.4756826011262</v>
      </c>
      <c r="AU13" s="1">
        <f t="shared" si="23"/>
        <v>3330.8309257751148</v>
      </c>
      <c r="AV13" s="1">
        <f t="shared" si="23"/>
        <v>3297.5226165173635</v>
      </c>
      <c r="AW13" s="1">
        <f t="shared" si="23"/>
        <v>3264.5473903521897</v>
      </c>
      <c r="AX13" s="1">
        <f t="shared" si="23"/>
        <v>3231.9019164486676</v>
      </c>
      <c r="AY13" s="1">
        <f t="shared" si="23"/>
        <v>3199.5828972841809</v>
      </c>
      <c r="AZ13" s="1">
        <f t="shared" si="23"/>
        <v>3167.587068311339</v>
      </c>
      <c r="BA13" s="1">
        <f t="shared" si="23"/>
        <v>3135.9111976282256</v>
      </c>
      <c r="BB13" s="1">
        <f t="shared" si="23"/>
        <v>3104.5520856519433</v>
      </c>
      <c r="BC13" s="1">
        <f t="shared" si="23"/>
        <v>3073.5065647954239</v>
      </c>
      <c r="BD13" s="1">
        <f t="shared" si="23"/>
        <v>3042.7714991474695</v>
      </c>
      <c r="BE13" s="1">
        <f t="shared" si="23"/>
        <v>3012.3437841559949</v>
      </c>
      <c r="BF13" s="1">
        <f t="shared" si="23"/>
        <v>2982.2203463144347</v>
      </c>
      <c r="BG13" s="1">
        <f t="shared" si="23"/>
        <v>2952.3981428512902</v>
      </c>
      <c r="BH13" s="1">
        <f t="shared" si="23"/>
        <v>2922.8741614227774</v>
      </c>
      <c r="BI13" s="1">
        <f t="shared" si="23"/>
        <v>2893.6454198085498</v>
      </c>
      <c r="BJ13" s="1">
        <f t="shared" si="23"/>
        <v>2864.7089656104645</v>
      </c>
      <c r="BK13" s="1">
        <f t="shared" si="23"/>
        <v>2836.0618759543599</v>
      </c>
      <c r="BL13" s="1">
        <f t="shared" si="23"/>
        <v>2807.7012571948162</v>
      </c>
      <c r="BM13" s="1">
        <f t="shared" si="23"/>
        <v>2779.624244622868</v>
      </c>
      <c r="BN13" s="1">
        <f t="shared" si="23"/>
        <v>2751.8280021766391</v>
      </c>
      <c r="BO13" s="1">
        <f t="shared" si="23"/>
        <v>2724.3097221548728</v>
      </c>
      <c r="BP13" s="1">
        <f t="shared" si="23"/>
        <v>2697.066624933324</v>
      </c>
      <c r="BQ13" s="1">
        <f t="shared" si="23"/>
        <v>2670.0959586839908</v>
      </c>
      <c r="BR13" s="1">
        <f t="shared" si="23"/>
        <v>2643.394999097151</v>
      </c>
      <c r="BS13" s="1">
        <f t="shared" si="23"/>
        <v>2616.9610491061794</v>
      </c>
      <c r="BT13" s="1">
        <f t="shared" si="23"/>
        <v>2590.7914386151174</v>
      </c>
      <c r="BU13" s="1">
        <f t="shared" si="23"/>
        <v>2564.8835242289661</v>
      </c>
      <c r="BV13" s="1">
        <f t="shared" si="23"/>
        <v>2539.2346889866762</v>
      </c>
      <c r="BW13" s="1">
        <f t="shared" si="23"/>
        <v>2513.8423420968093</v>
      </c>
      <c r="BX13" s="1">
        <f t="shared" si="23"/>
        <v>2488.7039186758411</v>
      </c>
      <c r="BY13" s="1">
        <f t="shared" si="23"/>
        <v>2463.8168794890826</v>
      </c>
      <c r="BZ13" s="1">
        <f t="shared" si="23"/>
        <v>2439.1787106941915</v>
      </c>
      <c r="CA13" s="1">
        <f t="shared" si="23"/>
        <v>2414.7869235872495</v>
      </c>
      <c r="CB13" s="1">
        <f t="shared" si="23"/>
        <v>2390.6390543513771</v>
      </c>
      <c r="CC13" s="1">
        <f t="shared" si="23"/>
        <v>2366.7326638078634</v>
      </c>
      <c r="CD13" s="1">
        <f t="shared" si="23"/>
        <v>2343.0653371697849</v>
      </c>
      <c r="CE13" s="1">
        <f t="shared" si="23"/>
        <v>2319.6346837980873</v>
      </c>
      <c r="CF13" s="1">
        <f t="shared" si="23"/>
        <v>2296.4383369601064</v>
      </c>
      <c r="CG13" s="1">
        <f t="shared" si="23"/>
        <v>2273.4739535905055</v>
      </c>
      <c r="CH13" s="1">
        <f t="shared" si="23"/>
        <v>2250.7392140546003</v>
      </c>
      <c r="CI13" s="1">
        <f t="shared" si="23"/>
        <v>2228.2318219140543</v>
      </c>
      <c r="CJ13" s="1">
        <f t="shared" si="23"/>
        <v>2205.9495036949138</v>
      </c>
      <c r="CK13" s="1">
        <f t="shared" si="23"/>
        <v>2183.8900086579647</v>
      </c>
      <c r="CL13" s="1">
        <f t="shared" ref="CL13:EV13" si="24">CK13*(1+$AA$19)</f>
        <v>2162.0511085713852</v>
      </c>
      <c r="CM13" s="1">
        <f t="shared" si="24"/>
        <v>2140.4305974856711</v>
      </c>
      <c r="CN13" s="1">
        <f t="shared" si="24"/>
        <v>2119.0262915108142</v>
      </c>
      <c r="CO13" s="1">
        <f t="shared" si="24"/>
        <v>2097.836028595706</v>
      </c>
      <c r="CP13" s="1">
        <f t="shared" si="24"/>
        <v>2076.857668309749</v>
      </c>
      <c r="CQ13" s="1">
        <f t="shared" si="24"/>
        <v>2056.0890916266517</v>
      </c>
      <c r="CR13" s="1">
        <f t="shared" si="24"/>
        <v>2035.5282007103851</v>
      </c>
      <c r="CS13" s="1">
        <f t="shared" si="24"/>
        <v>2015.1729187032813</v>
      </c>
      <c r="CT13" s="1">
        <f t="shared" si="24"/>
        <v>1995.0211895162486</v>
      </c>
      <c r="CU13" s="1">
        <f t="shared" si="24"/>
        <v>1975.0709776210861</v>
      </c>
      <c r="CV13" s="1">
        <f t="shared" si="24"/>
        <v>1955.3202678448752</v>
      </c>
      <c r="CW13" s="1">
        <f t="shared" si="24"/>
        <v>1935.7670651664264</v>
      </c>
      <c r="CX13" s="1">
        <f t="shared" si="24"/>
        <v>1916.4093945147622</v>
      </c>
      <c r="CY13" s="1">
        <f t="shared" si="24"/>
        <v>1897.2453005696145</v>
      </c>
      <c r="CZ13" s="1">
        <f t="shared" si="24"/>
        <v>1878.2728475639183</v>
      </c>
      <c r="DA13" s="1">
        <f t="shared" si="24"/>
        <v>1859.490119088279</v>
      </c>
      <c r="DB13" s="1">
        <f t="shared" si="24"/>
        <v>1840.8952178973962</v>
      </c>
      <c r="DC13" s="1">
        <f t="shared" si="24"/>
        <v>1822.4862657184221</v>
      </c>
      <c r="DD13" s="1">
        <f t="shared" si="24"/>
        <v>1804.2614030612378</v>
      </c>
      <c r="DE13" s="1">
        <f t="shared" si="24"/>
        <v>1786.2187890306254</v>
      </c>
      <c r="DF13" s="1">
        <f t="shared" si="24"/>
        <v>1768.3566011403191</v>
      </c>
      <c r="DG13" s="1">
        <f t="shared" si="24"/>
        <v>1750.6730351289159</v>
      </c>
      <c r="DH13" s="1">
        <f t="shared" si="24"/>
        <v>1733.1663047776267</v>
      </c>
      <c r="DI13" s="1">
        <f t="shared" si="24"/>
        <v>1715.8346417298503</v>
      </c>
      <c r="DJ13" s="1">
        <f t="shared" si="24"/>
        <v>1698.6762953125517</v>
      </c>
      <c r="DK13" s="1">
        <f t="shared" si="24"/>
        <v>1681.6895323594263</v>
      </c>
      <c r="DL13" s="1">
        <f t="shared" si="24"/>
        <v>1664.872637035832</v>
      </c>
      <c r="DM13" s="1">
        <f t="shared" si="24"/>
        <v>1648.2239106654736</v>
      </c>
      <c r="DN13" s="1">
        <f t="shared" si="24"/>
        <v>1631.7416715588188</v>
      </c>
      <c r="DO13" s="1">
        <f t="shared" si="24"/>
        <v>1615.4242548432305</v>
      </c>
      <c r="DP13" s="1">
        <f t="shared" si="24"/>
        <v>1599.2700122947981</v>
      </c>
      <c r="DQ13" s="1">
        <f t="shared" si="24"/>
        <v>1583.2773121718501</v>
      </c>
      <c r="DR13" s="1">
        <f t="shared" si="24"/>
        <v>1567.4445390501317</v>
      </c>
      <c r="DS13" s="1">
        <f t="shared" si="24"/>
        <v>1551.7700936596302</v>
      </c>
      <c r="DT13" s="1">
        <f t="shared" si="24"/>
        <v>1536.2523927230338</v>
      </c>
      <c r="DU13" s="1">
        <f t="shared" si="24"/>
        <v>1520.8898687958035</v>
      </c>
      <c r="DV13" s="1">
        <f t="shared" si="24"/>
        <v>1505.6809701078455</v>
      </c>
      <c r="DW13" s="1">
        <f t="shared" si="24"/>
        <v>1490.624160406767</v>
      </c>
      <c r="DX13" s="1">
        <f t="shared" si="24"/>
        <v>1475.7179188026994</v>
      </c>
      <c r="DY13" s="1">
        <f t="shared" si="24"/>
        <v>1460.9607396146723</v>
      </c>
      <c r="DZ13" s="1">
        <f t="shared" si="24"/>
        <v>1446.3511322185257</v>
      </c>
      <c r="EA13" s="1">
        <f t="shared" si="24"/>
        <v>1431.8876208963404</v>
      </c>
      <c r="EB13" s="1">
        <f t="shared" si="24"/>
        <v>1417.5687446873769</v>
      </c>
      <c r="EC13" s="1">
        <f t="shared" si="24"/>
        <v>1403.3930572405031</v>
      </c>
      <c r="ED13" s="1">
        <f t="shared" si="24"/>
        <v>1389.359126668098</v>
      </c>
      <c r="EE13" s="1">
        <f t="shared" si="24"/>
        <v>1375.4655354014171</v>
      </c>
      <c r="EF13" s="1">
        <f t="shared" si="24"/>
        <v>1361.710880047403</v>
      </c>
      <c r="EG13" s="1">
        <f t="shared" si="24"/>
        <v>1348.093771246929</v>
      </c>
      <c r="EH13" s="1">
        <f t="shared" si="24"/>
        <v>1334.6128335344597</v>
      </c>
      <c r="EI13" s="1">
        <f t="shared" si="24"/>
        <v>1321.266705199115</v>
      </c>
      <c r="EJ13" s="1">
        <f t="shared" si="24"/>
        <v>1308.0540381471237</v>
      </c>
      <c r="EK13" s="1">
        <f t="shared" si="24"/>
        <v>1294.9734977656524</v>
      </c>
      <c r="EL13" s="1">
        <f t="shared" si="24"/>
        <v>1282.0237627879958</v>
      </c>
      <c r="EM13" s="1">
        <f t="shared" si="24"/>
        <v>1269.2035251601158</v>
      </c>
      <c r="EN13" s="1">
        <f t="shared" si="24"/>
        <v>1256.5114899085147</v>
      </c>
      <c r="EO13" s="1">
        <f t="shared" si="24"/>
        <v>1243.9463750094296</v>
      </c>
      <c r="EP13" s="1">
        <f t="shared" si="24"/>
        <v>1231.5069112593353</v>
      </c>
      <c r="EQ13" s="1">
        <f t="shared" si="24"/>
        <v>1219.1918421467419</v>
      </c>
      <c r="ER13" s="1">
        <f t="shared" si="24"/>
        <v>1206.9999237252746</v>
      </c>
      <c r="ES13" s="1">
        <f t="shared" si="24"/>
        <v>1194.9299244880219</v>
      </c>
      <c r="ET13" s="1">
        <f t="shared" si="24"/>
        <v>1182.9806252431417</v>
      </c>
      <c r="EU13" s="1">
        <f t="shared" si="24"/>
        <v>1171.1508189907104</v>
      </c>
      <c r="EV13" s="1">
        <f t="shared" si="24"/>
        <v>1159.4393108008032</v>
      </c>
    </row>
    <row r="14" spans="2:152" x14ac:dyDescent="0.3">
      <c r="B14" t="s">
        <v>2</v>
      </c>
      <c r="C14" s="5">
        <v>105.569</v>
      </c>
      <c r="D14" s="5">
        <v>105.569</v>
      </c>
      <c r="E14" s="5">
        <v>105.569</v>
      </c>
      <c r="F14" s="5">
        <v>105.569</v>
      </c>
      <c r="G14" s="5">
        <v>105.569</v>
      </c>
      <c r="H14" s="5">
        <v>105.569</v>
      </c>
      <c r="I14" s="5">
        <v>105.569</v>
      </c>
      <c r="J14" s="5">
        <v>105.569</v>
      </c>
      <c r="L14" s="5">
        <v>105.569</v>
      </c>
      <c r="M14" s="5">
        <v>105.569</v>
      </c>
      <c r="N14" s="5">
        <v>105.569</v>
      </c>
      <c r="O14" s="5">
        <v>105.569</v>
      </c>
      <c r="P14" s="5">
        <v>105.569</v>
      </c>
      <c r="Q14" s="5">
        <v>105.569</v>
      </c>
      <c r="R14" s="5">
        <v>105.569</v>
      </c>
      <c r="S14" s="5">
        <v>105.569</v>
      </c>
      <c r="T14" s="5">
        <v>105.569</v>
      </c>
      <c r="U14" s="5">
        <v>105.569</v>
      </c>
      <c r="V14" s="5">
        <v>105.569</v>
      </c>
      <c r="W14" s="5">
        <v>105.569</v>
      </c>
      <c r="X14" s="5">
        <v>105.569</v>
      </c>
    </row>
    <row r="15" spans="2:152" s="1" customFormat="1" x14ac:dyDescent="0.3">
      <c r="B15" s="1" t="s">
        <v>28</v>
      </c>
      <c r="C15" s="7">
        <f t="shared" ref="C15:H15" si="25">C13/C14</f>
        <v>6.6875692674932985</v>
      </c>
      <c r="D15" s="7">
        <f t="shared" si="25"/>
        <v>6.6193674279381272</v>
      </c>
      <c r="E15" s="7">
        <f t="shared" si="25"/>
        <v>7.1450899411759128</v>
      </c>
      <c r="F15" s="7">
        <f t="shared" si="25"/>
        <v>7.3298032566378346</v>
      </c>
      <c r="G15" s="7">
        <f t="shared" si="25"/>
        <v>3.1723327870871176</v>
      </c>
      <c r="H15" s="7">
        <f t="shared" si="25"/>
        <v>9.8561130634940159</v>
      </c>
      <c r="I15" s="7">
        <f t="shared" ref="I15:J15" si="26">I13/I14</f>
        <v>6.7558252896210096</v>
      </c>
      <c r="J15" s="7">
        <f t="shared" si="26"/>
        <v>10.569465373357705</v>
      </c>
      <c r="L15" s="7">
        <f>L13/L14</f>
        <v>13.306936695431423</v>
      </c>
      <c r="M15" s="7">
        <f>M13/M14</f>
        <v>14.474893197813754</v>
      </c>
      <c r="N15" s="7">
        <f>N13/N14</f>
        <v>13.02844585058113</v>
      </c>
      <c r="O15" s="7">
        <f>O13/O14</f>
        <v>17.325290662978716</v>
      </c>
      <c r="P15" s="7">
        <f t="shared" ref="P15:X15" si="27">P13/P14</f>
        <v>21.552540889844551</v>
      </c>
      <c r="Q15" s="7">
        <f t="shared" si="27"/>
        <v>25.366946241946025</v>
      </c>
      <c r="R15" s="7">
        <f t="shared" si="27"/>
        <v>28.484292029389692</v>
      </c>
      <c r="S15" s="7">
        <f t="shared" si="27"/>
        <v>30.790817915935158</v>
      </c>
      <c r="T15" s="7">
        <f t="shared" si="27"/>
        <v>32.791113216296509</v>
      </c>
      <c r="U15" s="7">
        <f t="shared" si="27"/>
        <v>35.113936182152258</v>
      </c>
      <c r="V15" s="7">
        <f t="shared" si="27"/>
        <v>36.990040925178477</v>
      </c>
      <c r="W15" s="7">
        <f t="shared" si="27"/>
        <v>38.352073927175297</v>
      </c>
      <c r="X15" s="7">
        <f t="shared" si="27"/>
        <v>39.756368264060441</v>
      </c>
    </row>
    <row r="17" spans="2:27" x14ac:dyDescent="0.3">
      <c r="B17" s="1" t="s">
        <v>29</v>
      </c>
      <c r="E17" s="11">
        <f>E3/C3-1</f>
        <v>0.15113915177006643</v>
      </c>
      <c r="F17" s="11">
        <f t="shared" ref="F17:J17" si="28">F3/D3-1</f>
        <v>0.15614660627670141</v>
      </c>
      <c r="G17" s="11">
        <f t="shared" si="28"/>
        <v>-0.24243346933804266</v>
      </c>
      <c r="H17" s="11">
        <f t="shared" si="28"/>
        <v>8.3963102911758014E-2</v>
      </c>
      <c r="I17" s="11">
        <f t="shared" si="28"/>
        <v>0.32000000000000006</v>
      </c>
      <c r="J17" s="11">
        <f t="shared" si="28"/>
        <v>0.15000000000000013</v>
      </c>
      <c r="M17" s="11">
        <f>M3/L3-1</f>
        <v>0.15375203231591805</v>
      </c>
      <c r="N17" s="11">
        <f t="shared" ref="N17:X17" si="29">N3/M3-1</f>
        <v>-7.1766859400877459E-2</v>
      </c>
      <c r="O17" s="11">
        <f t="shared" si="29"/>
        <v>0.21619713901148785</v>
      </c>
      <c r="P17" s="11">
        <f t="shared" si="29"/>
        <v>0.15999999999999992</v>
      </c>
      <c r="Q17" s="11">
        <f t="shared" si="29"/>
        <v>0.12000000000000011</v>
      </c>
      <c r="R17" s="11">
        <f t="shared" si="29"/>
        <v>9.000000000000008E-2</v>
      </c>
      <c r="S17" s="11">
        <f t="shared" si="29"/>
        <v>6.0000000000000053E-2</v>
      </c>
      <c r="T17" s="11">
        <f t="shared" si="29"/>
        <v>5.0000000000000044E-2</v>
      </c>
      <c r="U17" s="11">
        <f t="shared" si="29"/>
        <v>5.0000000000000044E-2</v>
      </c>
      <c r="V17" s="11">
        <f t="shared" si="29"/>
        <v>4.0000000000000036E-2</v>
      </c>
      <c r="W17" s="11">
        <f t="shared" si="29"/>
        <v>3.0000000000000027E-2</v>
      </c>
      <c r="X17" s="11">
        <f t="shared" si="29"/>
        <v>3.0000000000000027E-2</v>
      </c>
    </row>
    <row r="18" spans="2:27" x14ac:dyDescent="0.3">
      <c r="B18" s="1" t="s">
        <v>30</v>
      </c>
      <c r="C18" s="11">
        <f>C5/C3</f>
        <v>0.69891342446547489</v>
      </c>
      <c r="D18" s="11">
        <f t="shared" ref="D18:E18" si="30">D5/D3</f>
        <v>0.70036298223635607</v>
      </c>
      <c r="E18" s="11">
        <f t="shared" si="30"/>
        <v>0.6866512392667925</v>
      </c>
      <c r="F18" s="11">
        <f t="shared" ref="F18:J18" si="31">F5/F3</f>
        <v>0.69554345410091123</v>
      </c>
      <c r="G18" s="11">
        <f t="shared" si="31"/>
        <v>0.65004019292604498</v>
      </c>
      <c r="H18" s="11">
        <f t="shared" si="31"/>
        <v>0.70713077356846255</v>
      </c>
      <c r="I18" s="11">
        <f t="shared" si="31"/>
        <v>0.70000000000000007</v>
      </c>
      <c r="J18" s="11">
        <f t="shared" si="31"/>
        <v>0.7</v>
      </c>
      <c r="L18" s="11">
        <f t="shared" ref="L18:X18" si="32">L5/L3</f>
        <v>0.69966980104255705</v>
      </c>
      <c r="M18" s="11">
        <f t="shared" si="32"/>
        <v>0.69130081064590176</v>
      </c>
      <c r="N18" s="11">
        <f t="shared" si="32"/>
        <v>0.68489999060944684</v>
      </c>
      <c r="O18" s="11">
        <f t="shared" si="32"/>
        <v>0.70000000000000007</v>
      </c>
      <c r="P18" s="11">
        <f t="shared" si="32"/>
        <v>0.7</v>
      </c>
      <c r="Q18" s="11">
        <f t="shared" si="32"/>
        <v>0.7</v>
      </c>
      <c r="R18" s="11">
        <f t="shared" si="32"/>
        <v>0.7</v>
      </c>
      <c r="S18" s="11">
        <f t="shared" si="32"/>
        <v>0.7</v>
      </c>
      <c r="T18" s="11">
        <f t="shared" si="32"/>
        <v>0.7</v>
      </c>
      <c r="U18" s="11">
        <f t="shared" si="32"/>
        <v>0.7</v>
      </c>
      <c r="V18" s="11">
        <f t="shared" si="32"/>
        <v>0.7</v>
      </c>
      <c r="W18" s="11">
        <f t="shared" si="32"/>
        <v>0.7</v>
      </c>
      <c r="X18" s="11">
        <f t="shared" si="32"/>
        <v>0.7</v>
      </c>
    </row>
    <row r="19" spans="2:27" x14ac:dyDescent="0.3">
      <c r="B19" s="10" t="s">
        <v>31</v>
      </c>
      <c r="C19" s="11">
        <f>C8/C3</f>
        <v>0.36768314055380302</v>
      </c>
      <c r="D19" s="11">
        <f t="shared" ref="D19:E19" si="33">D8/D3</f>
        <v>0.34637499598470978</v>
      </c>
      <c r="E19" s="11">
        <f t="shared" si="33"/>
        <v>0.34830400097436209</v>
      </c>
      <c r="F19" s="11">
        <f t="shared" ref="F19:J19" si="34">F8/F3</f>
        <v>0.33199044232051561</v>
      </c>
      <c r="G19" s="11">
        <f t="shared" si="34"/>
        <v>0.21487138263665592</v>
      </c>
      <c r="H19" s="11">
        <f t="shared" si="34"/>
        <v>0.37084123647921258</v>
      </c>
      <c r="I19" s="11">
        <f t="shared" si="34"/>
        <v>0.33448918444899167</v>
      </c>
      <c r="J19" s="11">
        <f t="shared" si="34"/>
        <v>0.37577748010190309</v>
      </c>
      <c r="L19" s="11">
        <f t="shared" ref="L19:X19" si="35">L8/L3</f>
        <v>0.35656458993312212</v>
      </c>
      <c r="M19" s="11">
        <f t="shared" si="35"/>
        <v>0.3397739489205916</v>
      </c>
      <c r="N19" s="11">
        <f t="shared" si="35"/>
        <v>0.3101073653238175</v>
      </c>
      <c r="O19" s="11">
        <f t="shared" si="35"/>
        <v>0.35832781050011775</v>
      </c>
      <c r="P19" s="11">
        <f t="shared" si="35"/>
        <v>0.38189140977597164</v>
      </c>
      <c r="Q19" s="11">
        <f t="shared" si="35"/>
        <v>0.39977452283909626</v>
      </c>
      <c r="R19" s="11">
        <f t="shared" si="35"/>
        <v>0.41079197154224878</v>
      </c>
      <c r="S19" s="11">
        <f t="shared" si="35"/>
        <v>0.41817405479357311</v>
      </c>
      <c r="T19" s="11">
        <f t="shared" si="35"/>
        <v>0.42354216803560035</v>
      </c>
      <c r="U19" s="11">
        <f t="shared" si="35"/>
        <v>0.4314409632345832</v>
      </c>
      <c r="V19" s="11">
        <f t="shared" si="35"/>
        <v>0.4366055600954567</v>
      </c>
      <c r="W19" s="11">
        <f t="shared" si="35"/>
        <v>0.4391627876673454</v>
      </c>
      <c r="X19" s="11">
        <f t="shared" si="35"/>
        <v>0.44169518778707989</v>
      </c>
      <c r="Z19" t="s">
        <v>33</v>
      </c>
      <c r="AA19" s="11">
        <v>-0.01</v>
      </c>
    </row>
    <row r="20" spans="2:27" x14ac:dyDescent="0.3">
      <c r="B20" s="10" t="s">
        <v>32</v>
      </c>
      <c r="E20" s="11">
        <f t="shared" ref="E20" si="36">E6/C6-1</f>
        <v>0.15212038303693576</v>
      </c>
      <c r="F20" s="11">
        <f t="shared" ref="F20:F21" si="37">F6/D6-1</f>
        <v>0.17105738000721771</v>
      </c>
      <c r="G20" s="11">
        <f t="shared" ref="G20:G21" si="38">G6/E6-1</f>
        <v>-8.7508905248159685E-2</v>
      </c>
      <c r="H20" s="11">
        <f t="shared" ref="H20:H21" si="39">H6/F6-1</f>
        <v>-4.4684129429892194E-2</v>
      </c>
      <c r="I20" s="11">
        <f t="shared" ref="I20:I21" si="40">I6/G6-1</f>
        <v>0.10000000000000009</v>
      </c>
      <c r="J20" s="11">
        <f t="shared" ref="J20:J21" si="41">J6/H6-1</f>
        <v>0.10000000000000009</v>
      </c>
      <c r="M20" s="11">
        <f t="shared" ref="M20:X20" si="42">M6/L6-1</f>
        <v>0.1621967611854318</v>
      </c>
      <c r="N20" s="11">
        <f t="shared" si="42"/>
        <v>-6.4548108167648888E-2</v>
      </c>
      <c r="O20" s="11">
        <f t="shared" si="42"/>
        <v>0.10000000000000009</v>
      </c>
      <c r="P20" s="11">
        <f t="shared" si="42"/>
        <v>8.0000000000000071E-2</v>
      </c>
      <c r="Q20" s="11">
        <f t="shared" si="42"/>
        <v>6.0000000000000053E-2</v>
      </c>
      <c r="R20" s="11">
        <f t="shared" si="42"/>
        <v>5.0000000000000044E-2</v>
      </c>
      <c r="S20" s="11">
        <f t="shared" si="42"/>
        <v>3.0000000000000027E-2</v>
      </c>
      <c r="T20" s="11">
        <f t="shared" si="42"/>
        <v>3.0000000000000027E-2</v>
      </c>
      <c r="U20" s="11">
        <f t="shared" si="42"/>
        <v>2.0000000000000018E-2</v>
      </c>
      <c r="V20" s="11">
        <f t="shared" si="42"/>
        <v>2.0000000000000018E-2</v>
      </c>
      <c r="W20" s="11">
        <f t="shared" si="42"/>
        <v>2.0000000000000018E-2</v>
      </c>
      <c r="X20" s="11">
        <f t="shared" si="42"/>
        <v>2.0000000000000018E-2</v>
      </c>
      <c r="Z20" t="s">
        <v>34</v>
      </c>
      <c r="AA20" s="11">
        <v>0.06</v>
      </c>
    </row>
    <row r="21" spans="2:27" x14ac:dyDescent="0.3">
      <c r="B21" s="10" t="s">
        <v>45</v>
      </c>
      <c r="E21" s="11">
        <f t="shared" ref="E21" si="43">E7/C7-1</f>
        <v>0.2570093457943925</v>
      </c>
      <c r="F21" s="11">
        <f t="shared" si="37"/>
        <v>0.23753232360546717</v>
      </c>
      <c r="G21" s="11">
        <f t="shared" si="38"/>
        <v>0.16802973977695168</v>
      </c>
      <c r="H21" s="11">
        <f t="shared" si="39"/>
        <v>0.14029850746268679</v>
      </c>
      <c r="I21" s="11">
        <f t="shared" si="40"/>
        <v>0.12999999999999989</v>
      </c>
      <c r="J21" s="11">
        <f t="shared" si="41"/>
        <v>0.12999999999999989</v>
      </c>
      <c r="M21" s="11">
        <f t="shared" ref="M21" si="44">M7/L7-1</f>
        <v>0.24613162781101705</v>
      </c>
      <c r="N21" s="11">
        <f t="shared" ref="N21" si="45">N7/M7-1</f>
        <v>0.15264900662251657</v>
      </c>
      <c r="O21" s="11">
        <f t="shared" ref="O21" si="46">O7/N7-1</f>
        <v>0.12999999999999989</v>
      </c>
      <c r="P21" s="11">
        <f t="shared" ref="P21" si="47">P7/O7-1</f>
        <v>8.0000000000000071E-2</v>
      </c>
      <c r="Q21" s="11">
        <f t="shared" ref="Q21" si="48">Q7/P7-1</f>
        <v>5.0000000000000044E-2</v>
      </c>
      <c r="R21" s="11">
        <f t="shared" ref="R21" si="49">R7/Q7-1</f>
        <v>5.0000000000000044E-2</v>
      </c>
      <c r="S21" s="11">
        <f t="shared" ref="S21" si="50">S7/R7-1</f>
        <v>4.0000000000000036E-2</v>
      </c>
      <c r="T21" s="11">
        <f t="shared" ref="T21" si="51">T7/S7-1</f>
        <v>3.0000000000000027E-2</v>
      </c>
      <c r="U21" s="11">
        <f t="shared" ref="U21" si="52">U7/T7-1</f>
        <v>2.0000000000000018E-2</v>
      </c>
      <c r="V21" s="11">
        <f t="shared" ref="V21" si="53">V7/U7-1</f>
        <v>2.0000000000000018E-2</v>
      </c>
      <c r="W21" s="11">
        <f t="shared" ref="W21" si="54">W7/V7-1</f>
        <v>2.0000000000000018E-2</v>
      </c>
      <c r="X21" s="11">
        <f t="shared" ref="X21" si="55">X7/W7-1</f>
        <v>2.0000000000000018E-2</v>
      </c>
      <c r="Z21" t="s">
        <v>35</v>
      </c>
      <c r="AA21" s="5">
        <f>NPV(AA20,N13:EV13)</f>
        <v>54170.800879636503</v>
      </c>
    </row>
    <row r="22" spans="2:27" x14ac:dyDescent="0.3">
      <c r="B22" s="10" t="s">
        <v>25</v>
      </c>
      <c r="C22" s="11">
        <f>C11/C10</f>
        <v>0.32492725509214354</v>
      </c>
      <c r="D22" s="11">
        <f t="shared" ref="D22:X22" si="56">D11/D10</f>
        <v>0.32595456742387624</v>
      </c>
      <c r="E22" s="11">
        <f t="shared" si="56"/>
        <v>0.34001418942887551</v>
      </c>
      <c r="F22" s="11">
        <f t="shared" si="56"/>
        <v>0.32172238753719595</v>
      </c>
      <c r="G22" s="11">
        <f t="shared" si="56"/>
        <v>0.32715798045602607</v>
      </c>
      <c r="H22" s="11">
        <f t="shared" si="56"/>
        <v>0.30453810934554271</v>
      </c>
      <c r="I22" s="11">
        <f t="shared" si="56"/>
        <v>0.33</v>
      </c>
      <c r="J22" s="11">
        <f t="shared" si="56"/>
        <v>0.33</v>
      </c>
      <c r="L22" s="11">
        <f t="shared" si="56"/>
        <v>0.32544178165093202</v>
      </c>
      <c r="M22" s="11">
        <f t="shared" si="56"/>
        <v>0.33080785833847232</v>
      </c>
      <c r="N22" s="11">
        <f t="shared" si="56"/>
        <v>0.31015988666261901</v>
      </c>
      <c r="O22" s="11">
        <f t="shared" si="56"/>
        <v>0.32999999999999996</v>
      </c>
      <c r="P22" s="11">
        <f t="shared" si="56"/>
        <v>0.33</v>
      </c>
      <c r="Q22" s="11">
        <f t="shared" si="56"/>
        <v>0.33</v>
      </c>
      <c r="R22" s="11">
        <f t="shared" si="56"/>
        <v>0.33</v>
      </c>
      <c r="S22" s="11">
        <f t="shared" si="56"/>
        <v>0.33</v>
      </c>
      <c r="T22" s="11">
        <f t="shared" si="56"/>
        <v>0.33</v>
      </c>
      <c r="U22" s="11">
        <f t="shared" si="56"/>
        <v>0.33</v>
      </c>
      <c r="V22" s="11">
        <f t="shared" si="56"/>
        <v>0.33</v>
      </c>
      <c r="W22" s="11">
        <f t="shared" si="56"/>
        <v>0.33</v>
      </c>
      <c r="X22" s="11">
        <f t="shared" si="56"/>
        <v>0.33</v>
      </c>
      <c r="Z22" t="s">
        <v>36</v>
      </c>
      <c r="AA22" s="5">
        <f>Main!D8</f>
        <v>4738.6000000000004</v>
      </c>
    </row>
    <row r="23" spans="2:27" x14ac:dyDescent="0.3">
      <c r="Z23" t="s">
        <v>37</v>
      </c>
      <c r="AA23" s="5">
        <f>AA21+AA22</f>
        <v>58909.400879636501</v>
      </c>
    </row>
    <row r="24" spans="2:27" x14ac:dyDescent="0.3">
      <c r="Z24" t="s">
        <v>38</v>
      </c>
      <c r="AA24" s="4">
        <f>AA23/X14</f>
        <v>558.01798709504214</v>
      </c>
    </row>
    <row r="25" spans="2:27" x14ac:dyDescent="0.3">
      <c r="Z25" t="s">
        <v>39</v>
      </c>
      <c r="AA25" s="4">
        <f>Main!D3</f>
        <v>1049.08</v>
      </c>
    </row>
    <row r="26" spans="2:27" x14ac:dyDescent="0.3">
      <c r="Z26" s="1" t="s">
        <v>40</v>
      </c>
      <c r="AA26" s="12">
        <f>AA24/AA25-1</f>
        <v>-0.468088241988178</v>
      </c>
    </row>
    <row r="27" spans="2:27" x14ac:dyDescent="0.3">
      <c r="Z27" t="s">
        <v>41</v>
      </c>
      <c r="AA27" s="6" t="s">
        <v>42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</cp:lastModifiedBy>
  <dcterms:created xsi:type="dcterms:W3CDTF">2021-01-24T14:19:56Z</dcterms:created>
  <dcterms:modified xsi:type="dcterms:W3CDTF">2021-04-26T20:35:43Z</dcterms:modified>
</cp:coreProperties>
</file>