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9C3D2F1-496E-4049-9CB1-DDCA05D92818}" xr6:coauthVersionLast="47" xr6:coauthVersionMax="47" xr10:uidLastSave="{00000000-0000-0000-0000-000000000000}"/>
  <bookViews>
    <workbookView xWindow="-108" yWindow="-108" windowWidth="23256" windowHeight="12576" activeTab="1" xr2:uid="{99FD0C39-1228-4528-9306-B2D51C3019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5" i="2" l="1"/>
  <c r="AM85" i="2" s="1"/>
  <c r="AN85" i="2" s="1"/>
  <c r="AO85" i="2" s="1"/>
  <c r="AP85" i="2" s="1"/>
  <c r="AK85" i="2"/>
  <c r="AJ85" i="2"/>
  <c r="AI85" i="2"/>
  <c r="U13" i="2"/>
  <c r="U36" i="2" s="1"/>
  <c r="T84" i="2"/>
  <c r="T86" i="2" s="1"/>
  <c r="T70" i="2"/>
  <c r="T13" i="2"/>
  <c r="D7" i="1"/>
  <c r="D6" i="1"/>
  <c r="AG85" i="2"/>
  <c r="AH85" i="2" s="1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AG74" i="2"/>
  <c r="AH74" i="2" s="1"/>
  <c r="AI74" i="2" s="1"/>
  <c r="AJ74" i="2" s="1"/>
  <c r="AK74" i="2" s="1"/>
  <c r="AL74" i="2" s="1"/>
  <c r="AM74" i="2" s="1"/>
  <c r="AN74" i="2" s="1"/>
  <c r="AO74" i="2" s="1"/>
  <c r="AP74" i="2" s="1"/>
  <c r="AF74" i="2"/>
  <c r="AG77" i="2"/>
  <c r="AH77" i="2" s="1"/>
  <c r="AI77" i="2" s="1"/>
  <c r="AJ77" i="2" s="1"/>
  <c r="AK77" i="2" s="1"/>
  <c r="AL77" i="2" s="1"/>
  <c r="AM77" i="2" s="1"/>
  <c r="AN77" i="2" s="1"/>
  <c r="AO77" i="2" s="1"/>
  <c r="AP77" i="2" s="1"/>
  <c r="AF77" i="2"/>
  <c r="AD86" i="2"/>
  <c r="AC86" i="2"/>
  <c r="R86" i="2"/>
  <c r="Q86" i="2"/>
  <c r="P86" i="2"/>
  <c r="O86" i="2"/>
  <c r="N86" i="2"/>
  <c r="M86" i="2"/>
  <c r="L86" i="2"/>
  <c r="V14" i="2"/>
  <c r="AF14" i="2" s="1"/>
  <c r="AG14" i="2" s="1"/>
  <c r="AF20" i="2"/>
  <c r="AF19" i="2"/>
  <c r="AF16" i="2"/>
  <c r="AF15" i="2"/>
  <c r="AF11" i="2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W23" i="2"/>
  <c r="W24" i="2"/>
  <c r="W26" i="2" s="1"/>
  <c r="W41" i="2"/>
  <c r="W22" i="2"/>
  <c r="W40" i="2" s="1"/>
  <c r="W21" i="2"/>
  <c r="W13" i="2"/>
  <c r="W12" i="2" s="1"/>
  <c r="V13" i="2"/>
  <c r="V12" i="2" s="1"/>
  <c r="W38" i="2"/>
  <c r="V38" i="2"/>
  <c r="U38" i="2"/>
  <c r="T38" i="2"/>
  <c r="W37" i="2"/>
  <c r="V37" i="2"/>
  <c r="U37" i="2"/>
  <c r="T37" i="2"/>
  <c r="W35" i="2"/>
  <c r="V35" i="2"/>
  <c r="U35" i="2"/>
  <c r="T35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11" i="2"/>
  <c r="V11" i="2"/>
  <c r="U11" i="2"/>
  <c r="W17" i="2"/>
  <c r="V17" i="2"/>
  <c r="U17" i="2"/>
  <c r="T17" i="2"/>
  <c r="W15" i="2"/>
  <c r="V15" i="2"/>
  <c r="U15" i="2"/>
  <c r="W14" i="2"/>
  <c r="U14" i="2"/>
  <c r="S13" i="2"/>
  <c r="S34" i="2"/>
  <c r="S33" i="2"/>
  <c r="S32" i="2"/>
  <c r="S31" i="2"/>
  <c r="S30" i="2"/>
  <c r="S29" i="2"/>
  <c r="S28" i="2"/>
  <c r="T18" i="2" l="1"/>
  <c r="T36" i="2"/>
  <c r="W42" i="2"/>
  <c r="U12" i="2"/>
  <c r="AF12" i="2" s="1"/>
  <c r="AF13" i="2" s="1"/>
  <c r="V36" i="2"/>
  <c r="W36" i="2"/>
  <c r="W18" i="2"/>
  <c r="W39" i="2" s="1"/>
  <c r="V18" i="2"/>
  <c r="U18" i="2"/>
  <c r="AE10" i="2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E9" i="2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E8" i="2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E7" i="2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E6" i="2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E5" i="2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E4" i="2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E3" i="2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D10" i="2"/>
  <c r="AD9" i="2"/>
  <c r="AE34" i="2" s="1"/>
  <c r="AD8" i="2"/>
  <c r="AE33" i="2" s="1"/>
  <c r="AD7" i="2"/>
  <c r="AD6" i="2"/>
  <c r="AD5" i="2"/>
  <c r="AD4" i="2"/>
  <c r="AD3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R34" i="2"/>
  <c r="R33" i="2"/>
  <c r="R32" i="2"/>
  <c r="R31" i="2"/>
  <c r="R30" i="2"/>
  <c r="R29" i="2"/>
  <c r="R28" i="2"/>
  <c r="L11" i="2"/>
  <c r="L35" i="2" s="1"/>
  <c r="P11" i="2"/>
  <c r="P13" i="2" s="1"/>
  <c r="P36" i="2" s="1"/>
  <c r="M11" i="2"/>
  <c r="M13" i="2" s="1"/>
  <c r="M36" i="2" s="1"/>
  <c r="Q11" i="2"/>
  <c r="Q13" i="2" s="1"/>
  <c r="Q36" i="2" s="1"/>
  <c r="AS94" i="2"/>
  <c r="AG72" i="2"/>
  <c r="AH72" i="2" s="1"/>
  <c r="AI72" i="2" s="1"/>
  <c r="AJ72" i="2" s="1"/>
  <c r="AK72" i="2" s="1"/>
  <c r="AL72" i="2" s="1"/>
  <c r="AM72" i="2" s="1"/>
  <c r="AN72" i="2" s="1"/>
  <c r="AO72" i="2" s="1"/>
  <c r="AP72" i="2" s="1"/>
  <c r="AG71" i="2"/>
  <c r="AH71" i="2" s="1"/>
  <c r="AI71" i="2" s="1"/>
  <c r="AJ71" i="2" s="1"/>
  <c r="AK71" i="2" s="1"/>
  <c r="AL71" i="2" s="1"/>
  <c r="AM71" i="2" s="1"/>
  <c r="AN71" i="2" s="1"/>
  <c r="AO71" i="2" s="1"/>
  <c r="AP71" i="2" s="1"/>
  <c r="AF73" i="2"/>
  <c r="AD88" i="2"/>
  <c r="P88" i="2"/>
  <c r="Q73" i="2"/>
  <c r="R73" i="2" s="1"/>
  <c r="Q72" i="2"/>
  <c r="R72" i="2" s="1"/>
  <c r="AC83" i="2"/>
  <c r="AC75" i="2"/>
  <c r="AD67" i="2"/>
  <c r="AD66" i="2"/>
  <c r="AD63" i="2"/>
  <c r="AD56" i="2"/>
  <c r="AD50" i="2"/>
  <c r="AD44" i="2"/>
  <c r="AC67" i="2"/>
  <c r="AC66" i="2"/>
  <c r="AC63" i="2"/>
  <c r="AC56" i="2"/>
  <c r="AC50" i="2"/>
  <c r="AC44" i="2"/>
  <c r="K67" i="2"/>
  <c r="K56" i="2"/>
  <c r="K66" i="2"/>
  <c r="K63" i="2"/>
  <c r="K50" i="2"/>
  <c r="K44" i="2"/>
  <c r="L77" i="2"/>
  <c r="M77" i="2" s="1"/>
  <c r="N77" i="2" s="1"/>
  <c r="O77" i="2" s="1"/>
  <c r="L76" i="2"/>
  <c r="M76" i="2" s="1"/>
  <c r="N76" i="2" s="1"/>
  <c r="O76" i="2" s="1"/>
  <c r="Q79" i="2"/>
  <c r="R79" i="2" s="1"/>
  <c r="Q71" i="2"/>
  <c r="R71" i="2" s="1"/>
  <c r="M85" i="2"/>
  <c r="N85" i="2" s="1"/>
  <c r="O85" i="2" s="1"/>
  <c r="M83" i="2"/>
  <c r="N83" i="2" s="1"/>
  <c r="O83" i="2" s="1"/>
  <c r="M82" i="2"/>
  <c r="N82" i="2" s="1"/>
  <c r="O82" i="2" s="1"/>
  <c r="M81" i="2"/>
  <c r="N81" i="2" s="1"/>
  <c r="O81" i="2" s="1"/>
  <c r="M80" i="2"/>
  <c r="N80" i="2" s="1"/>
  <c r="O80" i="2" s="1"/>
  <c r="M79" i="2"/>
  <c r="N79" i="2" s="1"/>
  <c r="O79" i="2" s="1"/>
  <c r="M78" i="2"/>
  <c r="N78" i="2" s="1"/>
  <c r="O78" i="2" s="1"/>
  <c r="M75" i="2"/>
  <c r="N75" i="2" s="1"/>
  <c r="O75" i="2" s="1"/>
  <c r="M74" i="2"/>
  <c r="N74" i="2" s="1"/>
  <c r="O74" i="2" s="1"/>
  <c r="M73" i="2"/>
  <c r="N73" i="2" s="1"/>
  <c r="O73" i="2" s="1"/>
  <c r="M72" i="2"/>
  <c r="N72" i="2" s="1"/>
  <c r="O72" i="2" s="1"/>
  <c r="M71" i="2"/>
  <c r="N71" i="2" s="1"/>
  <c r="O71" i="2" s="1"/>
  <c r="Q85" i="2"/>
  <c r="Q83" i="2"/>
  <c r="R83" i="2" s="1"/>
  <c r="Q78" i="2"/>
  <c r="R78" i="2" s="1"/>
  <c r="Q75" i="2"/>
  <c r="R75" i="2" s="1"/>
  <c r="Q74" i="2"/>
  <c r="R74" i="2" s="1"/>
  <c r="Q67" i="2"/>
  <c r="Q66" i="2"/>
  <c r="Q63" i="2"/>
  <c r="Q56" i="2"/>
  <c r="Q50" i="2"/>
  <c r="Q44" i="2"/>
  <c r="N11" i="2"/>
  <c r="R11" i="2"/>
  <c r="R13" i="2" s="1"/>
  <c r="R36" i="2" s="1"/>
  <c r="O67" i="2"/>
  <c r="O66" i="2"/>
  <c r="O63" i="2"/>
  <c r="O56" i="2"/>
  <c r="O50" i="2"/>
  <c r="O44" i="2"/>
  <c r="R67" i="2"/>
  <c r="R66" i="2"/>
  <c r="R63" i="2"/>
  <c r="R56" i="2"/>
  <c r="R50" i="2"/>
  <c r="R44" i="2"/>
  <c r="AS43" i="2"/>
  <c r="AG16" i="2"/>
  <c r="AH16" i="2" s="1"/>
  <c r="AI16" i="2" s="1"/>
  <c r="AJ16" i="2" s="1"/>
  <c r="AK16" i="2" s="1"/>
  <c r="AL16" i="2" s="1"/>
  <c r="AM16" i="2" s="1"/>
  <c r="AN16" i="2" s="1"/>
  <c r="AO16" i="2" s="1"/>
  <c r="AP16" i="2" s="1"/>
  <c r="AP73" i="2" s="1"/>
  <c r="AA38" i="2"/>
  <c r="AA37" i="2"/>
  <c r="AA35" i="2"/>
  <c r="Z38" i="2"/>
  <c r="Z37" i="2"/>
  <c r="Z35" i="2"/>
  <c r="AE15" i="2"/>
  <c r="Y17" i="2"/>
  <c r="AE14" i="2"/>
  <c r="AE20" i="2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E19" i="2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E16" i="2"/>
  <c r="AD23" i="2"/>
  <c r="AD22" i="2"/>
  <c r="AD20" i="2"/>
  <c r="AD19" i="2"/>
  <c r="AD16" i="2"/>
  <c r="AD15" i="2"/>
  <c r="AD14" i="2"/>
  <c r="AD12" i="2"/>
  <c r="AC23" i="2"/>
  <c r="AC22" i="2"/>
  <c r="AC20" i="2"/>
  <c r="AC19" i="2"/>
  <c r="AC16" i="2"/>
  <c r="AC15" i="2"/>
  <c r="AC14" i="2"/>
  <c r="AC12" i="2"/>
  <c r="AC11" i="2"/>
  <c r="AB23" i="2"/>
  <c r="AB22" i="2"/>
  <c r="AB20" i="2"/>
  <c r="AB19" i="2"/>
  <c r="AB16" i="2"/>
  <c r="AB15" i="2"/>
  <c r="AB38" i="2" s="1"/>
  <c r="AB14" i="2"/>
  <c r="AB37" i="2" s="1"/>
  <c r="AB12" i="2"/>
  <c r="AB11" i="2"/>
  <c r="AB35" i="2" s="1"/>
  <c r="Y13" i="2"/>
  <c r="Y36" i="2" s="1"/>
  <c r="Z17" i="2"/>
  <c r="Z13" i="2"/>
  <c r="Z36" i="2" s="1"/>
  <c r="AA17" i="2"/>
  <c r="AA13" i="2"/>
  <c r="AA36" i="2" s="1"/>
  <c r="R38" i="2"/>
  <c r="Q38" i="2"/>
  <c r="P38" i="2"/>
  <c r="O38" i="2"/>
  <c r="N38" i="2"/>
  <c r="M38" i="2"/>
  <c r="L38" i="2"/>
  <c r="K38" i="2"/>
  <c r="J38" i="2"/>
  <c r="I38" i="2"/>
  <c r="H38" i="2"/>
  <c r="R37" i="2"/>
  <c r="Q37" i="2"/>
  <c r="P37" i="2"/>
  <c r="O37" i="2"/>
  <c r="N37" i="2"/>
  <c r="M37" i="2"/>
  <c r="L37" i="2"/>
  <c r="K37" i="2"/>
  <c r="J37" i="2"/>
  <c r="I37" i="2"/>
  <c r="H37" i="2"/>
  <c r="O35" i="2"/>
  <c r="K35" i="2"/>
  <c r="J35" i="2"/>
  <c r="I35" i="2"/>
  <c r="H35" i="2"/>
  <c r="G38" i="2"/>
  <c r="G37" i="2"/>
  <c r="G35" i="2"/>
  <c r="C17" i="2"/>
  <c r="C13" i="2"/>
  <c r="C36" i="2" s="1"/>
  <c r="G17" i="2"/>
  <c r="G13" i="2"/>
  <c r="G36" i="2" s="1"/>
  <c r="D17" i="2"/>
  <c r="D13" i="2"/>
  <c r="D36" i="2" s="1"/>
  <c r="H17" i="2"/>
  <c r="H13" i="2"/>
  <c r="H36" i="2" s="1"/>
  <c r="E17" i="2"/>
  <c r="E13" i="2"/>
  <c r="I17" i="2"/>
  <c r="I13" i="2"/>
  <c r="I36" i="2" s="1"/>
  <c r="F17" i="2"/>
  <c r="F13" i="2"/>
  <c r="F36" i="2" s="1"/>
  <c r="J17" i="2"/>
  <c r="J13" i="2"/>
  <c r="J36" i="2" s="1"/>
  <c r="K17" i="2"/>
  <c r="K13" i="2"/>
  <c r="K36" i="2" s="1"/>
  <c r="O17" i="2"/>
  <c r="O13" i="2"/>
  <c r="O36" i="2" s="1"/>
  <c r="L17" i="2"/>
  <c r="P17" i="2"/>
  <c r="M17" i="2"/>
  <c r="Q17" i="2"/>
  <c r="N17" i="2"/>
  <c r="R17" i="2"/>
  <c r="D8" i="1"/>
  <c r="AS91" i="2" s="1"/>
  <c r="F3" i="1"/>
  <c r="D5" i="1"/>
  <c r="U39" i="2" l="1"/>
  <c r="U21" i="2"/>
  <c r="T39" i="2"/>
  <c r="T21" i="2"/>
  <c r="R85" i="2"/>
  <c r="V39" i="2"/>
  <c r="V21" i="2"/>
  <c r="D9" i="1"/>
  <c r="AS40" i="2"/>
  <c r="Q35" i="2"/>
  <c r="M35" i="2"/>
  <c r="AE28" i="2"/>
  <c r="AE32" i="2"/>
  <c r="AE31" i="2"/>
  <c r="AE30" i="2"/>
  <c r="AE29" i="2"/>
  <c r="R88" i="2"/>
  <c r="AK73" i="2"/>
  <c r="AL73" i="2"/>
  <c r="AM73" i="2"/>
  <c r="AN73" i="2"/>
  <c r="AG73" i="2"/>
  <c r="AO73" i="2"/>
  <c r="AH73" i="2"/>
  <c r="Q88" i="2"/>
  <c r="AI73" i="2"/>
  <c r="AJ73" i="2"/>
  <c r="L13" i="2"/>
  <c r="L36" i="2" s="1"/>
  <c r="P35" i="2"/>
  <c r="AD11" i="2"/>
  <c r="AD13" i="2" s="1"/>
  <c r="Q77" i="2"/>
  <c r="R77" i="2" s="1"/>
  <c r="AD57" i="2"/>
  <c r="AC68" i="2"/>
  <c r="AC57" i="2"/>
  <c r="AD68" i="2"/>
  <c r="Q76" i="2"/>
  <c r="R76" i="2" s="1"/>
  <c r="Q80" i="2"/>
  <c r="R80" i="2" s="1"/>
  <c r="Q81" i="2"/>
  <c r="R81" i="2" s="1"/>
  <c r="Q82" i="2"/>
  <c r="R82" i="2" s="1"/>
  <c r="K68" i="2"/>
  <c r="K57" i="2"/>
  <c r="Q68" i="2"/>
  <c r="Q57" i="2"/>
  <c r="N13" i="2"/>
  <c r="N36" i="2" s="1"/>
  <c r="N35" i="2"/>
  <c r="R35" i="2"/>
  <c r="AE11" i="2"/>
  <c r="O68" i="2"/>
  <c r="R68" i="2"/>
  <c r="O57" i="2"/>
  <c r="AD38" i="2"/>
  <c r="S17" i="2"/>
  <c r="AC35" i="2"/>
  <c r="AE38" i="2"/>
  <c r="R57" i="2"/>
  <c r="E18" i="2"/>
  <c r="E21" i="2" s="1"/>
  <c r="E24" i="2" s="1"/>
  <c r="E26" i="2" s="1"/>
  <c r="AC37" i="2"/>
  <c r="AD37" i="2"/>
  <c r="AH14" i="2"/>
  <c r="AI14" i="2" s="1"/>
  <c r="AJ14" i="2" s="1"/>
  <c r="AK14" i="2" s="1"/>
  <c r="AL14" i="2" s="1"/>
  <c r="AM14" i="2" s="1"/>
  <c r="AN14" i="2" s="1"/>
  <c r="AO14" i="2" s="1"/>
  <c r="AP14" i="2" s="1"/>
  <c r="AF37" i="2"/>
  <c r="AE37" i="2"/>
  <c r="S36" i="2"/>
  <c r="AF17" i="2"/>
  <c r="AC38" i="2"/>
  <c r="E36" i="2"/>
  <c r="S38" i="2"/>
  <c r="S37" i="2"/>
  <c r="AE17" i="2"/>
  <c r="S35" i="2"/>
  <c r="AD17" i="2"/>
  <c r="AC17" i="2"/>
  <c r="AC13" i="2"/>
  <c r="AC36" i="2" s="1"/>
  <c r="AB17" i="2"/>
  <c r="AB13" i="2"/>
  <c r="AB36" i="2" s="1"/>
  <c r="Y18" i="2"/>
  <c r="Z18" i="2"/>
  <c r="AA18" i="2"/>
  <c r="C18" i="2"/>
  <c r="G18" i="2"/>
  <c r="R18" i="2"/>
  <c r="D18" i="2"/>
  <c r="H18" i="2"/>
  <c r="I18" i="2"/>
  <c r="F18" i="2"/>
  <c r="J18" i="2"/>
  <c r="K18" i="2"/>
  <c r="P18" i="2"/>
  <c r="Q18" i="2"/>
  <c r="O18" i="2"/>
  <c r="M18" i="2"/>
  <c r="U23" i="2" l="1"/>
  <c r="U41" i="2" s="1"/>
  <c r="U22" i="2"/>
  <c r="U40" i="2" s="1"/>
  <c r="T40" i="2"/>
  <c r="T41" i="2"/>
  <c r="V24" i="2"/>
  <c r="V22" i="2"/>
  <c r="V23" i="2"/>
  <c r="AH13" i="2"/>
  <c r="AH36" i="2" s="1"/>
  <c r="AD35" i="2"/>
  <c r="L18" i="2"/>
  <c r="L21" i="2" s="1"/>
  <c r="N18" i="2"/>
  <c r="N21" i="2" s="1"/>
  <c r="AG13" i="2"/>
  <c r="AG36" i="2" s="1"/>
  <c r="AF35" i="2"/>
  <c r="AE35" i="2"/>
  <c r="AG35" i="2"/>
  <c r="AF36" i="2"/>
  <c r="E40" i="2"/>
  <c r="AH37" i="2"/>
  <c r="E39" i="2"/>
  <c r="E41" i="2"/>
  <c r="S18" i="2"/>
  <c r="S21" i="2" s="1"/>
  <c r="E42" i="2"/>
  <c r="AE12" i="2"/>
  <c r="AE13" i="2" s="1"/>
  <c r="AE36" i="2" s="1"/>
  <c r="Q21" i="2"/>
  <c r="Q39" i="2"/>
  <c r="P21" i="2"/>
  <c r="P39" i="2"/>
  <c r="G21" i="2"/>
  <c r="G39" i="2"/>
  <c r="H21" i="2"/>
  <c r="H39" i="2"/>
  <c r="C21" i="2"/>
  <c r="C39" i="2"/>
  <c r="D21" i="2"/>
  <c r="D39" i="2"/>
  <c r="R21" i="2"/>
  <c r="R39" i="2"/>
  <c r="AF38" i="2"/>
  <c r="AG15" i="2"/>
  <c r="AA21" i="2"/>
  <c r="AA39" i="2"/>
  <c r="Z21" i="2"/>
  <c r="Z39" i="2"/>
  <c r="O21" i="2"/>
  <c r="O39" i="2"/>
  <c r="K21" i="2"/>
  <c r="K39" i="2"/>
  <c r="J21" i="2"/>
  <c r="J39" i="2"/>
  <c r="F21" i="2"/>
  <c r="F39" i="2"/>
  <c r="M21" i="2"/>
  <c r="M39" i="2"/>
  <c r="I21" i="2"/>
  <c r="I39" i="2"/>
  <c r="Y21" i="2"/>
  <c r="Y39" i="2"/>
  <c r="AG37" i="2"/>
  <c r="AD18" i="2"/>
  <c r="AD39" i="2" s="1"/>
  <c r="AD36" i="2"/>
  <c r="AI37" i="2"/>
  <c r="AC18" i="2"/>
  <c r="AB18" i="2"/>
  <c r="U24" i="2" l="1"/>
  <c r="T24" i="2"/>
  <c r="T26" i="2" s="1"/>
  <c r="V42" i="2"/>
  <c r="V26" i="2"/>
  <c r="V41" i="2"/>
  <c r="AF23" i="2"/>
  <c r="AF22" i="2"/>
  <c r="V40" i="2"/>
  <c r="S40" i="2"/>
  <c r="AH35" i="2"/>
  <c r="AI13" i="2"/>
  <c r="AI36" i="2" s="1"/>
  <c r="L39" i="2"/>
  <c r="N39" i="2"/>
  <c r="AH12" i="2"/>
  <c r="AG12" i="2"/>
  <c r="AF18" i="2"/>
  <c r="AF39" i="2" s="1"/>
  <c r="AE18" i="2"/>
  <c r="AE21" i="2" s="1"/>
  <c r="S39" i="2"/>
  <c r="AE23" i="2"/>
  <c r="AD21" i="2"/>
  <c r="H24" i="2"/>
  <c r="H41" i="2"/>
  <c r="H40" i="2"/>
  <c r="N24" i="2"/>
  <c r="N41" i="2"/>
  <c r="N40" i="2"/>
  <c r="L24" i="2"/>
  <c r="L70" i="2" s="1"/>
  <c r="L84" i="2" s="1"/>
  <c r="L40" i="2"/>
  <c r="L41" i="2"/>
  <c r="R24" i="2"/>
  <c r="R41" i="2"/>
  <c r="R40" i="2"/>
  <c r="O24" i="2"/>
  <c r="O70" i="2" s="1"/>
  <c r="O84" i="2" s="1"/>
  <c r="O41" i="2"/>
  <c r="O40" i="2"/>
  <c r="Y24" i="2"/>
  <c r="Y41" i="2"/>
  <c r="Y40" i="2"/>
  <c r="AC21" i="2"/>
  <c r="AC39" i="2"/>
  <c r="I24" i="2"/>
  <c r="I41" i="2"/>
  <c r="I40" i="2"/>
  <c r="J24" i="2"/>
  <c r="J41" i="2"/>
  <c r="J40" i="2"/>
  <c r="Z24" i="2"/>
  <c r="Z41" i="2"/>
  <c r="Z40" i="2"/>
  <c r="AB21" i="2"/>
  <c r="AB39" i="2"/>
  <c r="D24" i="2"/>
  <c r="D40" i="2"/>
  <c r="D41" i="2"/>
  <c r="P24" i="2"/>
  <c r="P70" i="2" s="1"/>
  <c r="P84" i="2" s="1"/>
  <c r="P41" i="2"/>
  <c r="P40" i="2"/>
  <c r="F24" i="2"/>
  <c r="F40" i="2"/>
  <c r="F41" i="2"/>
  <c r="G24" i="2"/>
  <c r="G40" i="2"/>
  <c r="G41" i="2"/>
  <c r="M24" i="2"/>
  <c r="M40" i="2"/>
  <c r="M41" i="2"/>
  <c r="K24" i="2"/>
  <c r="K40" i="2"/>
  <c r="K41" i="2"/>
  <c r="AA24" i="2"/>
  <c r="AA41" i="2"/>
  <c r="AA40" i="2"/>
  <c r="AH15" i="2"/>
  <c r="AG17" i="2"/>
  <c r="AG18" i="2" s="1"/>
  <c r="AG39" i="2" s="1"/>
  <c r="AG38" i="2"/>
  <c r="C24" i="2"/>
  <c r="C41" i="2"/>
  <c r="C40" i="2"/>
  <c r="Q24" i="2"/>
  <c r="Q41" i="2"/>
  <c r="Q40" i="2"/>
  <c r="AJ37" i="2"/>
  <c r="U42" i="2" l="1"/>
  <c r="U26" i="2"/>
  <c r="T42" i="2"/>
  <c r="AE22" i="2"/>
  <c r="AE24" i="2" s="1"/>
  <c r="AE70" i="2" s="1"/>
  <c r="AE84" i="2" s="1"/>
  <c r="AI35" i="2"/>
  <c r="AF21" i="2"/>
  <c r="AF40" i="2" s="1"/>
  <c r="S41" i="2"/>
  <c r="S24" i="2"/>
  <c r="S70" i="2" s="1"/>
  <c r="S84" i="2" s="1"/>
  <c r="M70" i="2"/>
  <c r="M84" i="2" s="1"/>
  <c r="M90" i="2"/>
  <c r="M104" i="2" s="1"/>
  <c r="Q70" i="2"/>
  <c r="Q84" i="2" s="1"/>
  <c r="Q90" i="2"/>
  <c r="Q104" i="2" s="1"/>
  <c r="AG21" i="2"/>
  <c r="AG22" i="2" s="1"/>
  <c r="AG40" i="2" s="1"/>
  <c r="AE39" i="2"/>
  <c r="N90" i="2"/>
  <c r="N104" i="2" s="1"/>
  <c r="N70" i="2"/>
  <c r="N84" i="2" s="1"/>
  <c r="R90" i="2"/>
  <c r="R104" i="2" s="1"/>
  <c r="AI12" i="2"/>
  <c r="C26" i="2"/>
  <c r="C42" i="2"/>
  <c r="H26" i="2"/>
  <c r="H42" i="2"/>
  <c r="F26" i="2"/>
  <c r="F42" i="2"/>
  <c r="J26" i="2"/>
  <c r="J42" i="2"/>
  <c r="Y26" i="2"/>
  <c r="Y42" i="2"/>
  <c r="AD24" i="2"/>
  <c r="AD70" i="2" s="1"/>
  <c r="AD84" i="2" s="1"/>
  <c r="AD40" i="2"/>
  <c r="AD41" i="2"/>
  <c r="AI15" i="2"/>
  <c r="AH17" i="2"/>
  <c r="AH18" i="2" s="1"/>
  <c r="AH38" i="2"/>
  <c r="L26" i="2"/>
  <c r="L42" i="2"/>
  <c r="K26" i="2"/>
  <c r="K42" i="2"/>
  <c r="M26" i="2"/>
  <c r="M42" i="2"/>
  <c r="Q26" i="2"/>
  <c r="Q42" i="2"/>
  <c r="P26" i="2"/>
  <c r="P42" i="2"/>
  <c r="I26" i="2"/>
  <c r="I42" i="2"/>
  <c r="O26" i="2"/>
  <c r="O42" i="2"/>
  <c r="AA26" i="2"/>
  <c r="AA42" i="2"/>
  <c r="N26" i="2"/>
  <c r="N42" i="2"/>
  <c r="R26" i="2"/>
  <c r="R70" i="2"/>
  <c r="R84" i="2" s="1"/>
  <c r="R42" i="2"/>
  <c r="AB24" i="2"/>
  <c r="AB41" i="2"/>
  <c r="AB40" i="2"/>
  <c r="G26" i="2"/>
  <c r="G42" i="2"/>
  <c r="Z26" i="2"/>
  <c r="Z42" i="2"/>
  <c r="AC24" i="2"/>
  <c r="AC70" i="2" s="1"/>
  <c r="AC84" i="2" s="1"/>
  <c r="AC41" i="2"/>
  <c r="AC40" i="2"/>
  <c r="D26" i="2"/>
  <c r="D42" i="2"/>
  <c r="AE41" i="2"/>
  <c r="AK37" i="2"/>
  <c r="AE40" i="2" l="1"/>
  <c r="AJ35" i="2"/>
  <c r="AJ13" i="2"/>
  <c r="AF41" i="2"/>
  <c r="S42" i="2"/>
  <c r="S26" i="2"/>
  <c r="AG23" i="2"/>
  <c r="AG41" i="2" s="1"/>
  <c r="AH21" i="2"/>
  <c r="AH39" i="2"/>
  <c r="AJ15" i="2"/>
  <c r="AI38" i="2"/>
  <c r="AI17" i="2"/>
  <c r="AI18" i="2" s="1"/>
  <c r="AI21" i="2" s="1"/>
  <c r="AI22" i="2" s="1"/>
  <c r="AI40" i="2" s="1"/>
  <c r="AC26" i="2"/>
  <c r="AC42" i="2"/>
  <c r="AD26" i="2"/>
  <c r="AD42" i="2"/>
  <c r="AB26" i="2"/>
  <c r="AB42" i="2"/>
  <c r="AE26" i="2"/>
  <c r="AE42" i="2"/>
  <c r="AL37" i="2"/>
  <c r="AK35" i="2" l="1"/>
  <c r="AK13" i="2"/>
  <c r="AK36" i="2" s="1"/>
  <c r="AJ36" i="2"/>
  <c r="AJ12" i="2"/>
  <c r="AF24" i="2"/>
  <c r="AG24" i="2"/>
  <c r="AG70" i="2" s="1"/>
  <c r="AG84" i="2" s="1"/>
  <c r="AI23" i="2"/>
  <c r="AI41" i="2" s="1"/>
  <c r="AI39" i="2"/>
  <c r="AH23" i="2"/>
  <c r="AH41" i="2" s="1"/>
  <c r="AH22" i="2"/>
  <c r="AH40" i="2" s="1"/>
  <c r="AK15" i="2"/>
  <c r="AL15" i="2" s="1"/>
  <c r="AM15" i="2" s="1"/>
  <c r="AN15" i="2" s="1"/>
  <c r="AO15" i="2" s="1"/>
  <c r="AP15" i="2" s="1"/>
  <c r="AJ17" i="2"/>
  <c r="AJ18" i="2" s="1"/>
  <c r="AJ38" i="2"/>
  <c r="AM37" i="2"/>
  <c r="AF70" i="2" l="1"/>
  <c r="AF84" i="2" s="1"/>
  <c r="AK12" i="2"/>
  <c r="AL35" i="2"/>
  <c r="AL13" i="2"/>
  <c r="AL36" i="2" s="1"/>
  <c r="AF42" i="2"/>
  <c r="AF26" i="2"/>
  <c r="AG26" i="2"/>
  <c r="AG42" i="2"/>
  <c r="AH24" i="2"/>
  <c r="AJ21" i="2"/>
  <c r="AJ39" i="2"/>
  <c r="AK38" i="2"/>
  <c r="AK17" i="2"/>
  <c r="AK18" i="2" s="1"/>
  <c r="AI24" i="2"/>
  <c r="AN37" i="2"/>
  <c r="AM13" i="2" l="1"/>
  <c r="AM36" i="2" s="1"/>
  <c r="AM35" i="2"/>
  <c r="AL12" i="2"/>
  <c r="AH42" i="2"/>
  <c r="AH70" i="2"/>
  <c r="AH84" i="2" s="1"/>
  <c r="AI42" i="2"/>
  <c r="AI70" i="2"/>
  <c r="AI84" i="2" s="1"/>
  <c r="AH26" i="2"/>
  <c r="AI26" i="2"/>
  <c r="AK39" i="2"/>
  <c r="AK21" i="2"/>
  <c r="AL38" i="2"/>
  <c r="AL17" i="2"/>
  <c r="AL18" i="2" s="1"/>
  <c r="AJ23" i="2"/>
  <c r="AJ41" i="2" s="1"/>
  <c r="AJ22" i="2"/>
  <c r="AJ40" i="2" s="1"/>
  <c r="AO37" i="2"/>
  <c r="AM12" i="2" l="1"/>
  <c r="AN13" i="2"/>
  <c r="AN36" i="2" s="1"/>
  <c r="AN35" i="2"/>
  <c r="AM17" i="2"/>
  <c r="AM18" i="2" s="1"/>
  <c r="AM38" i="2"/>
  <c r="AL39" i="2"/>
  <c r="AL21" i="2"/>
  <c r="AK22" i="2"/>
  <c r="AK40" i="2" s="1"/>
  <c r="AK23" i="2"/>
  <c r="AK41" i="2" s="1"/>
  <c r="AJ24" i="2"/>
  <c r="AJ70" i="2" s="1"/>
  <c r="AJ84" i="2" s="1"/>
  <c r="AP37" i="2"/>
  <c r="AN12" i="2" l="1"/>
  <c r="AP13" i="2"/>
  <c r="AP36" i="2" s="1"/>
  <c r="AP35" i="2"/>
  <c r="AO35" i="2"/>
  <c r="AO13" i="2"/>
  <c r="AO36" i="2" s="1"/>
  <c r="AK24" i="2"/>
  <c r="AL23" i="2"/>
  <c r="AL41" i="2" s="1"/>
  <c r="AL22" i="2"/>
  <c r="AL40" i="2" s="1"/>
  <c r="AM39" i="2"/>
  <c r="AM21" i="2"/>
  <c r="AJ42" i="2"/>
  <c r="AJ26" i="2"/>
  <c r="AN17" i="2"/>
  <c r="AN18" i="2" s="1"/>
  <c r="AN38" i="2"/>
  <c r="AO12" i="2" l="1"/>
  <c r="AP12" i="2"/>
  <c r="AK26" i="2"/>
  <c r="AK70" i="2"/>
  <c r="AK84" i="2" s="1"/>
  <c r="AK42" i="2"/>
  <c r="AL24" i="2"/>
  <c r="AM22" i="2"/>
  <c r="AM40" i="2" s="1"/>
  <c r="AM23" i="2"/>
  <c r="AM41" i="2" s="1"/>
  <c r="AN21" i="2"/>
  <c r="AN39" i="2"/>
  <c r="AO38" i="2"/>
  <c r="AO17" i="2"/>
  <c r="AO18" i="2" s="1"/>
  <c r="AL26" i="2" l="1"/>
  <c r="AL70" i="2"/>
  <c r="AL84" i="2" s="1"/>
  <c r="AL42" i="2"/>
  <c r="AM24" i="2"/>
  <c r="AP17" i="2"/>
  <c r="AP18" i="2" s="1"/>
  <c r="AP38" i="2"/>
  <c r="AN22" i="2"/>
  <c r="AN40" i="2" s="1"/>
  <c r="AN23" i="2"/>
  <c r="AN41" i="2" s="1"/>
  <c r="AO39" i="2"/>
  <c r="AO21" i="2"/>
  <c r="AM26" i="2" l="1"/>
  <c r="AM70" i="2"/>
  <c r="AM84" i="2" s="1"/>
  <c r="AN24" i="2"/>
  <c r="AM42" i="2"/>
  <c r="AO23" i="2"/>
  <c r="AO41" i="2" s="1"/>
  <c r="AO22" i="2"/>
  <c r="AO40" i="2" s="1"/>
  <c r="AP39" i="2"/>
  <c r="AP21" i="2"/>
  <c r="AN42" i="2" l="1"/>
  <c r="AN70" i="2"/>
  <c r="AN84" i="2" s="1"/>
  <c r="AN26" i="2"/>
  <c r="AP22" i="2"/>
  <c r="AP40" i="2" s="1"/>
  <c r="AP23" i="2"/>
  <c r="AP41" i="2" s="1"/>
  <c r="AO24" i="2"/>
  <c r="AO70" i="2" s="1"/>
  <c r="AO84" i="2" s="1"/>
  <c r="AO26" i="2" l="1"/>
  <c r="AO42" i="2"/>
  <c r="AP24" i="2"/>
  <c r="AP70" i="2" s="1"/>
  <c r="AP84" i="2" s="1"/>
  <c r="AQ24" i="2" l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AS39" i="2" s="1"/>
  <c r="AP26" i="2"/>
  <c r="AP42" i="2"/>
  <c r="AS41" i="2" l="1"/>
  <c r="AS42" i="2" s="1"/>
  <c r="AS44" i="2" s="1"/>
  <c r="AF86" i="2" l="1"/>
  <c r="S86" i="2"/>
  <c r="S88" i="2"/>
  <c r="AE88" i="2"/>
  <c r="S85" i="2"/>
  <c r="AE86" i="2"/>
  <c r="AG86" i="2" l="1"/>
  <c r="AH86" i="2" l="1"/>
  <c r="AI86" i="2" l="1"/>
  <c r="AJ86" i="2" l="1"/>
  <c r="AK86" i="2" l="1"/>
  <c r="AL86" i="2" l="1"/>
  <c r="AM86" i="2" l="1"/>
  <c r="AN86" i="2" l="1"/>
  <c r="AO86" i="2" l="1"/>
  <c r="AP86" i="2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BJ86" i="2" s="1"/>
  <c r="BK86" i="2" s="1"/>
  <c r="BL86" i="2" s="1"/>
  <c r="BM86" i="2" s="1"/>
  <c r="BN86" i="2" s="1"/>
  <c r="BO86" i="2" s="1"/>
  <c r="BP86" i="2" s="1"/>
  <c r="BQ86" i="2" s="1"/>
  <c r="BR86" i="2" s="1"/>
  <c r="BS86" i="2" s="1"/>
  <c r="BT86" i="2" s="1"/>
  <c r="BU86" i="2" s="1"/>
  <c r="BV86" i="2" s="1"/>
  <c r="BW86" i="2" s="1"/>
  <c r="BX86" i="2" s="1"/>
  <c r="BY86" i="2" s="1"/>
  <c r="BZ86" i="2" s="1"/>
  <c r="CA86" i="2" s="1"/>
  <c r="CB86" i="2" s="1"/>
  <c r="CC86" i="2" s="1"/>
  <c r="CD86" i="2" s="1"/>
  <c r="CE86" i="2" s="1"/>
  <c r="CF86" i="2" s="1"/>
  <c r="CG86" i="2" s="1"/>
  <c r="CH86" i="2" s="1"/>
  <c r="CI86" i="2" s="1"/>
  <c r="CJ86" i="2" s="1"/>
  <c r="CK86" i="2" s="1"/>
  <c r="CL86" i="2" s="1"/>
  <c r="CM86" i="2" s="1"/>
  <c r="CN86" i="2" s="1"/>
  <c r="CO86" i="2" s="1"/>
  <c r="CP86" i="2" s="1"/>
  <c r="CQ86" i="2" s="1"/>
  <c r="CR86" i="2" s="1"/>
  <c r="CS86" i="2" s="1"/>
  <c r="CT86" i="2" s="1"/>
  <c r="CU86" i="2" s="1"/>
  <c r="CV86" i="2" s="1"/>
  <c r="CW86" i="2" s="1"/>
  <c r="CX86" i="2" s="1"/>
  <c r="CY86" i="2" s="1"/>
  <c r="CZ86" i="2" s="1"/>
  <c r="DA86" i="2" s="1"/>
  <c r="DB86" i="2" s="1"/>
  <c r="DC86" i="2" s="1"/>
  <c r="DD86" i="2" s="1"/>
  <c r="DE86" i="2" s="1"/>
  <c r="DF86" i="2" s="1"/>
  <c r="DG86" i="2" s="1"/>
  <c r="DH86" i="2" s="1"/>
  <c r="DI86" i="2" s="1"/>
  <c r="DJ86" i="2" s="1"/>
  <c r="DK86" i="2" s="1"/>
  <c r="DL86" i="2" s="1"/>
  <c r="DM86" i="2" s="1"/>
  <c r="DN86" i="2" s="1"/>
  <c r="DO86" i="2" s="1"/>
  <c r="DP86" i="2" s="1"/>
  <c r="DQ86" i="2" s="1"/>
  <c r="DR86" i="2" s="1"/>
  <c r="DS86" i="2" s="1"/>
  <c r="DT86" i="2" s="1"/>
  <c r="DU86" i="2" s="1"/>
  <c r="DV86" i="2" s="1"/>
  <c r="DW86" i="2" s="1"/>
  <c r="DX86" i="2" s="1"/>
  <c r="DY86" i="2" s="1"/>
  <c r="DZ86" i="2" s="1"/>
  <c r="EA86" i="2" s="1"/>
  <c r="EB86" i="2" s="1"/>
  <c r="EC86" i="2" s="1"/>
  <c r="ED86" i="2" s="1"/>
  <c r="EE86" i="2" s="1"/>
  <c r="EF86" i="2" s="1"/>
  <c r="EG86" i="2" s="1"/>
  <c r="EH86" i="2" s="1"/>
  <c r="EI86" i="2" s="1"/>
  <c r="EJ86" i="2" s="1"/>
  <c r="EK86" i="2" s="1"/>
  <c r="EL86" i="2" s="1"/>
  <c r="EM86" i="2" s="1"/>
  <c r="EN86" i="2" s="1"/>
  <c r="AS90" i="2" s="1"/>
  <c r="AS92" i="2" s="1"/>
  <c r="AS93" i="2" s="1"/>
</calcChain>
</file>

<file path=xl/sharedStrings.xml><?xml version="1.0" encoding="utf-8"?>
<sst xmlns="http://schemas.openxmlformats.org/spreadsheetml/2006/main" count="150" uniqueCount="109">
  <si>
    <t>INTC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</si>
  <si>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</si>
  <si>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</si>
  <si>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</si>
  <si>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</si>
  <si>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</si>
  <si>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</si>
  <si>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</si>
  <si>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</si>
  <si>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</si>
  <si>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</si>
  <si>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Q324</t>
  </si>
  <si>
    <t>Revenue</t>
  </si>
  <si>
    <t>Q124</t>
  </si>
  <si>
    <t>Q123</t>
  </si>
  <si>
    <t>Q223</t>
  </si>
  <si>
    <t>Q323</t>
  </si>
  <si>
    <t>Q423</t>
  </si>
  <si>
    <t>Q224</t>
  </si>
  <si>
    <t>Q424</t>
  </si>
  <si>
    <t>Cost of sales</t>
  </si>
  <si>
    <t>Gross profit</t>
  </si>
  <si>
    <t>R&amp;D</t>
  </si>
  <si>
    <t>SG&amp;A</t>
  </si>
  <si>
    <t>Restructuring</t>
  </si>
  <si>
    <t>Operating profit</t>
  </si>
  <si>
    <t>Total operating expenses</t>
  </si>
  <si>
    <t>Net interest expense</t>
  </si>
  <si>
    <t>Pretax profit</t>
  </si>
  <si>
    <t>Taxes</t>
  </si>
  <si>
    <t>MI</t>
  </si>
  <si>
    <t>Net profit</t>
  </si>
  <si>
    <t>EPS</t>
  </si>
  <si>
    <t>Net investment income</t>
  </si>
  <si>
    <t>Q121</t>
  </si>
  <si>
    <t>Q221</t>
  </si>
  <si>
    <t>Q321</t>
  </si>
  <si>
    <t>Q421</t>
  </si>
  <si>
    <t>Q122</t>
  </si>
  <si>
    <t>Q222</t>
  </si>
  <si>
    <t>Q322</t>
  </si>
  <si>
    <t>Q422</t>
  </si>
  <si>
    <t>Q420</t>
  </si>
  <si>
    <t>Gross Margin</t>
  </si>
  <si>
    <t>Revenue y/y</t>
  </si>
  <si>
    <t>R&amp;D y/y</t>
  </si>
  <si>
    <t>SG&amp;A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</si>
  <si>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</si>
  <si>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</si>
  <si>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</si>
  <si>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</si>
  <si>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</si>
  <si>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</si>
  <si>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</si>
  <si>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</si>
  <si>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</si>
  <si>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</si>
  <si>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</si>
  <si>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Investments</t>
  </si>
  <si>
    <t>A/R</t>
  </si>
  <si>
    <t>Inventories</t>
  </si>
  <si>
    <t>OCA</t>
  </si>
  <si>
    <t>Current assets</t>
  </si>
  <si>
    <t>PP&amp;E</t>
  </si>
  <si>
    <t>Goodwill</t>
  </si>
  <si>
    <t>Intangibles</t>
  </si>
  <si>
    <t>ONCA</t>
  </si>
  <si>
    <t>Non-current assets</t>
  </si>
  <si>
    <t>Total assets</t>
  </si>
  <si>
    <t>A/P</t>
  </si>
  <si>
    <t>A/L</t>
  </si>
  <si>
    <t>OCL</t>
  </si>
  <si>
    <t>Current liabilities</t>
  </si>
  <si>
    <t>ONCL</t>
  </si>
  <si>
    <t>Non-current liabilities</t>
  </si>
  <si>
    <t>S/E</t>
  </si>
  <si>
    <t>L+S/E</t>
  </si>
  <si>
    <t>Depreciation</t>
  </si>
  <si>
    <t>SBC</t>
  </si>
  <si>
    <t>Amortisation</t>
  </si>
  <si>
    <t>D/T</t>
  </si>
  <si>
    <t>Impairments</t>
  </si>
  <si>
    <t>Other</t>
  </si>
  <si>
    <t>CFFO</t>
  </si>
  <si>
    <t>FCF</t>
  </si>
  <si>
    <t>Cumulative income</t>
  </si>
  <si>
    <t>DC&amp;AI revenue</t>
  </si>
  <si>
    <t>Network revenue</t>
  </si>
  <si>
    <t>Foundry revenue</t>
  </si>
  <si>
    <t>Other revenue</t>
  </si>
  <si>
    <t>Desktop revenue</t>
  </si>
  <si>
    <t>Notebook revenue</t>
  </si>
  <si>
    <t>Other products revenue</t>
  </si>
  <si>
    <t>Eliminations</t>
  </si>
  <si>
    <t>PP&amp;E y/y</t>
  </si>
  <si>
    <t>NPV (FCF)</t>
  </si>
  <si>
    <t>Desktop revenue y/y</t>
  </si>
  <si>
    <t>Notebook revenue y/y</t>
  </si>
  <si>
    <t>Other products revenue y/y</t>
  </si>
  <si>
    <t>DC&amp;AI revenue y/y</t>
  </si>
  <si>
    <t>Network revenue y/y</t>
  </si>
  <si>
    <t>Foundry revenue y/y</t>
  </si>
  <si>
    <t>Other revenue y/y</t>
  </si>
  <si>
    <t>Q125</t>
  </si>
  <si>
    <t>Q225</t>
  </si>
  <si>
    <t>Q325</t>
  </si>
  <si>
    <t>Q425</t>
  </si>
  <si>
    <t>Overvalued</t>
  </si>
  <si>
    <t>Q125 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</si>
</sst>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9" fontId="0" fillId="0" borderId="0" xfId="0" applyNumberFormat="1" applyAlignment="1">
      <alignment horizontal="right"/>
    </xf>
    <xf numFmtId="9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</xdr:colOff>
      <xdr:row>0</xdr:row>
      <xdr:rowOff>7620</xdr:rowOff>
    </xdr:from>
    <xdr:to>
      <xdr:col>20</xdr:col>
      <xdr:colOff>45720</xdr:colOff>
      <xdr:row>91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A14B44D-64DD-7375-83C3-B915FC222F94}"/>
            </a:ext>
          </a:extLst>
        </xdr:cNvPr>
        <xdr:cNvCxnSpPr/>
      </xdr:nvCxnSpPr>
      <xdr:spPr>
        <a:xfrm>
          <a:off x="13243560" y="7620"/>
          <a:ext cx="0" cy="16733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0</xdr:row>
      <xdr:rowOff>15240</xdr:rowOff>
    </xdr:from>
    <xdr:to>
      <xdr:col>31</xdr:col>
      <xdr:colOff>38100</xdr:colOff>
      <xdr:row>91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CA3E3A9-F74A-A18E-DB57-18729AFCEE21}"/>
            </a:ext>
          </a:extLst>
        </xdr:cNvPr>
        <xdr:cNvCxnSpPr/>
      </xdr:nvCxnSpPr>
      <xdr:spPr>
        <a:xfrm>
          <a:off x="19941540" y="15240"/>
          <a:ext cx="0" cy="16725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26DC-ABF9-4BC6-BFBC-CD0DDBBA8D27}">
  <dimension ref="B2:G9"/>
  <sheetViews>
    <sheetView workbookViewId="0">
      <selection activeCell="D4" sqref="D4"/>
    </sheetView>
  </sheetViews>
  <sheetFormatPr defaultRowHeight="14.4" x14ac:dyDescent="0.3"/>
  <cols>
    <col min="5" max="7" width="12.55468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9">
        <v>20.14</v>
      </c>
      <c r="E3" s="4">
        <v>45771</v>
      </c>
      <c r="F3" s="4">
        <f ca="1">TODAY()</f>
        <v>45772</v>
      </c>
      <c r="G3" s="4">
        <v>45862</v>
      </c>
    </row>
    <row r="4" spans="2:7" x14ac:dyDescent="0.3">
      <c r="C4" t="s">
        <v>2</v>
      </c>
      <c r="D4" s="2">
        <v>4343</v>
      </c>
      <c r="E4" s="3" t="s">
        <v>108</v>
      </c>
    </row>
    <row r="5" spans="2:7" x14ac:dyDescent="0.3">
      <c r="C5" t="s">
        <v>3</v>
      </c>
      <c r="D5" s="2">
        <f>D3*D4</f>
        <v>87468.02</v>
      </c>
    </row>
    <row r="6" spans="2:7" x14ac:dyDescent="0.3">
      <c r="C6" t="s">
        <v>4</v>
      </c>
      <c r="D6" s="2">
        <f>8947+12101+5027</f>
        <v>26075</v>
      </c>
      <c r="E6" s="3" t="s">
        <v>103</v>
      </c>
    </row>
    <row r="7" spans="2:7" x14ac:dyDescent="0.3">
      <c r="C7" t="s">
        <v>5</v>
      </c>
      <c r="D7" s="2">
        <f>5240+44911</f>
        <v>50151</v>
      </c>
      <c r="E7" s="3" t="s">
        <v>103</v>
      </c>
    </row>
    <row r="8" spans="2:7" x14ac:dyDescent="0.3">
      <c r="C8" t="s">
        <v>6</v>
      </c>
      <c r="D8" s="2">
        <f>D6-D7</f>
        <v>-24076</v>
      </c>
    </row>
    <row r="9" spans="2:7" x14ac:dyDescent="0.3">
      <c r="C9" t="s">
        <v>7</v>
      </c>
      <c r="D9" s="2">
        <f>D5-D8</f>
        <v>111544.02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C3AC-BB2D-4FF6-A881-B7701DFB7046}">
  <sheetPr>
    <pageSetUpPr autoPageBreaks="0"/>
  </sheetPr>
  <dimension ref="B2:EV105"/>
  <sheetViews>
    <sheetView tabSelected="1" workbookViewId="0">
      <pane xSplit="2" ySplit="2" topLeftCell="AB71" activePane="bottomRight" state="frozen"/>
      <selection pane="topRight" activeCell="C1" sqref="C1"/>
      <selection pane="bottomLeft" activeCell="A3" sqref="A3"/>
      <selection pane="bottomRight" activeCell="AR84" sqref="AR84"/>
    </sheetView>
  </sheetViews>
  <sheetFormatPr defaultRowHeight="14.4" x14ac:dyDescent="0.3"/>
  <cols>
    <col min="2" max="2" width="23.5546875" bestFit="1" customWidth="1"/>
    <col min="3" max="11" width="8.88671875" customWidth="1"/>
    <col min="44" max="44" width="13.21875" customWidth="1"/>
    <col min="45" max="45" width="16.44140625" bestFit="1" customWidth="1"/>
  </cols>
  <sheetData>
    <row r="2" spans="2:42" x14ac:dyDescent="0.3">
      <c r="C2" s="5" t="s">
        <v>42</v>
      </c>
      <c r="D2" s="5" t="s">
        <v>34</v>
      </c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  <c r="J2" s="5" t="s">
        <v>40</v>
      </c>
      <c r="K2" s="5" t="s">
        <v>41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13</v>
      </c>
      <c r="Q2" s="5" t="s">
        <v>18</v>
      </c>
      <c r="R2" s="5" t="s">
        <v>11</v>
      </c>
      <c r="S2" s="5" t="s">
        <v>19</v>
      </c>
      <c r="T2" s="5" t="s">
        <v>103</v>
      </c>
      <c r="U2" s="5" t="s">
        <v>104</v>
      </c>
      <c r="V2" s="5" t="s">
        <v>105</v>
      </c>
      <c r="W2" s="5" t="s">
        <v>106</v>
      </c>
      <c r="Y2">
        <v>2018</v>
      </c>
      <c r="Z2">
        <v>2019</v>
      </c>
      <c r="AA2">
        <v>2020</v>
      </c>
      <c r="AB2">
        <v>2021</v>
      </c>
      <c r="AC2">
        <v>2022</v>
      </c>
      <c r="AD2">
        <v>2023</v>
      </c>
      <c r="AE2">
        <v>2024</v>
      </c>
      <c r="AF2">
        <v>2025</v>
      </c>
      <c r="AG2">
        <v>2026</v>
      </c>
      <c r="AH2">
        <v>2027</v>
      </c>
      <c r="AI2">
        <v>2028</v>
      </c>
      <c r="AJ2">
        <v>2029</v>
      </c>
      <c r="AK2">
        <v>2030</v>
      </c>
      <c r="AL2">
        <v>2031</v>
      </c>
      <c r="AM2">
        <v>2032</v>
      </c>
      <c r="AN2">
        <v>2033</v>
      </c>
      <c r="AO2">
        <v>2034</v>
      </c>
      <c r="AP2">
        <v>2035</v>
      </c>
    </row>
    <row r="3" spans="2:42" x14ac:dyDescent="0.3">
      <c r="B3" t="s">
        <v>90</v>
      </c>
      <c r="C3" s="11"/>
      <c r="D3" s="11"/>
      <c r="E3" s="11"/>
      <c r="F3" s="11"/>
      <c r="G3" s="11"/>
      <c r="H3" s="11"/>
      <c r="I3" s="11"/>
      <c r="J3" s="11"/>
      <c r="K3" s="11"/>
      <c r="L3" s="11">
        <v>1879</v>
      </c>
      <c r="M3" s="11">
        <v>2370</v>
      </c>
      <c r="N3" s="11">
        <v>2753</v>
      </c>
      <c r="O3" s="15"/>
      <c r="P3" s="11">
        <v>2461</v>
      </c>
      <c r="Q3" s="11">
        <v>2527</v>
      </c>
      <c r="R3" s="11">
        <v>2070</v>
      </c>
      <c r="S3" s="16"/>
      <c r="T3" s="11"/>
      <c r="U3" s="11"/>
      <c r="V3" s="11"/>
      <c r="W3" s="11"/>
      <c r="AD3" s="12">
        <f>SUM(L3:O3)</f>
        <v>7002</v>
      </c>
      <c r="AE3" s="12">
        <f>SUM(P3:S3)</f>
        <v>7058</v>
      </c>
      <c r="AF3" s="2">
        <f>AE3*(1+AF28)</f>
        <v>7199.16</v>
      </c>
      <c r="AG3" s="12">
        <f t="shared" ref="AG3:AP3" si="0">AF3*(1+AG28)</f>
        <v>7343.1432000000004</v>
      </c>
      <c r="AH3" s="12">
        <f t="shared" si="0"/>
        <v>7490.0060640000002</v>
      </c>
      <c r="AI3" s="12">
        <f t="shared" si="0"/>
        <v>7639.8061852800001</v>
      </c>
      <c r="AJ3" s="12">
        <f t="shared" si="0"/>
        <v>7792.6023089855998</v>
      </c>
      <c r="AK3" s="12">
        <f t="shared" si="0"/>
        <v>7870.5283320754561</v>
      </c>
      <c r="AL3" s="12">
        <f t="shared" si="0"/>
        <v>7949.2336153962106</v>
      </c>
      <c r="AM3" s="12">
        <f t="shared" si="0"/>
        <v>8028.7259515501728</v>
      </c>
      <c r="AN3" s="12">
        <f t="shared" si="0"/>
        <v>8109.013211065675</v>
      </c>
      <c r="AO3" s="12">
        <f t="shared" si="0"/>
        <v>8190.1033431763317</v>
      </c>
      <c r="AP3" s="12">
        <f t="shared" si="0"/>
        <v>8272.0043766080944</v>
      </c>
    </row>
    <row r="4" spans="2:42" x14ac:dyDescent="0.3">
      <c r="B4" t="s">
        <v>91</v>
      </c>
      <c r="C4" s="11"/>
      <c r="D4" s="11"/>
      <c r="E4" s="11"/>
      <c r="F4" s="11"/>
      <c r="G4" s="11"/>
      <c r="H4" s="11"/>
      <c r="I4" s="11"/>
      <c r="J4" s="11"/>
      <c r="K4" s="11"/>
      <c r="L4" s="11">
        <v>3407</v>
      </c>
      <c r="M4" s="11">
        <v>3896</v>
      </c>
      <c r="N4" s="11">
        <v>4503</v>
      </c>
      <c r="O4" s="15"/>
      <c r="P4" s="11">
        <v>4681</v>
      </c>
      <c r="Q4" s="11">
        <v>4480</v>
      </c>
      <c r="R4" s="11">
        <v>4888</v>
      </c>
      <c r="S4" s="16"/>
      <c r="T4" s="11"/>
      <c r="U4" s="11"/>
      <c r="V4" s="11"/>
      <c r="W4" s="11"/>
      <c r="AD4" s="12">
        <f t="shared" ref="AD4:AD10" si="1">SUM(L4:O4)</f>
        <v>11806</v>
      </c>
      <c r="AE4" s="12">
        <f t="shared" ref="AE4:AE10" si="2">SUM(P4:S4)</f>
        <v>14049</v>
      </c>
      <c r="AF4" s="2">
        <f t="shared" ref="AF4:AP4" si="3">AE4*(1+AF29)</f>
        <v>15453.900000000001</v>
      </c>
      <c r="AG4" s="12">
        <f t="shared" si="3"/>
        <v>16535.673000000003</v>
      </c>
      <c r="AH4" s="12">
        <f t="shared" si="3"/>
        <v>17197.099920000004</v>
      </c>
      <c r="AI4" s="12">
        <f t="shared" si="3"/>
        <v>17713.012917600005</v>
      </c>
      <c r="AJ4" s="12">
        <f t="shared" si="3"/>
        <v>18067.273175952007</v>
      </c>
      <c r="AK4" s="12">
        <f t="shared" si="3"/>
        <v>18428.618639471046</v>
      </c>
      <c r="AL4" s="12">
        <f t="shared" si="3"/>
        <v>18612.904825865757</v>
      </c>
      <c r="AM4" s="12">
        <f t="shared" si="3"/>
        <v>18799.033874124416</v>
      </c>
      <c r="AN4" s="12">
        <f t="shared" si="3"/>
        <v>18987.024212865661</v>
      </c>
      <c r="AO4" s="12">
        <f t="shared" si="3"/>
        <v>19176.894454994319</v>
      </c>
      <c r="AP4" s="12">
        <f t="shared" si="3"/>
        <v>19368.663399544261</v>
      </c>
    </row>
    <row r="5" spans="2:42" x14ac:dyDescent="0.3">
      <c r="B5" t="s">
        <v>92</v>
      </c>
      <c r="C5" s="11"/>
      <c r="D5" s="11"/>
      <c r="E5" s="11"/>
      <c r="F5" s="11"/>
      <c r="G5" s="11"/>
      <c r="H5" s="11"/>
      <c r="I5" s="11"/>
      <c r="J5" s="11"/>
      <c r="K5" s="11"/>
      <c r="L5" s="11">
        <v>481</v>
      </c>
      <c r="M5" s="11">
        <v>514</v>
      </c>
      <c r="N5" s="11">
        <v>611</v>
      </c>
      <c r="O5" s="16">
        <v>8844</v>
      </c>
      <c r="P5" s="11">
        <v>391</v>
      </c>
      <c r="Q5" s="11">
        <v>403</v>
      </c>
      <c r="R5" s="11">
        <v>372</v>
      </c>
      <c r="S5" s="16">
        <v>8017</v>
      </c>
      <c r="T5" s="11">
        <v>7629</v>
      </c>
      <c r="U5" s="11"/>
      <c r="V5" s="11"/>
      <c r="W5" s="11"/>
      <c r="AD5" s="12">
        <f t="shared" si="1"/>
        <v>10450</v>
      </c>
      <c r="AE5" s="12">
        <f t="shared" si="2"/>
        <v>9183</v>
      </c>
      <c r="AF5" s="2">
        <f t="shared" ref="AF5:AP5" si="4">AE5*(1+AF30)</f>
        <v>8723.85</v>
      </c>
      <c r="AG5" s="12">
        <f t="shared" si="4"/>
        <v>8287.6574999999993</v>
      </c>
      <c r="AH5" s="12">
        <f t="shared" si="4"/>
        <v>7873.2746249999991</v>
      </c>
      <c r="AI5" s="12">
        <f t="shared" si="4"/>
        <v>7479.6108937499985</v>
      </c>
      <c r="AJ5" s="12">
        <f t="shared" si="4"/>
        <v>7105.6303490624978</v>
      </c>
      <c r="AK5" s="12">
        <f t="shared" si="4"/>
        <v>6750.3488316093726</v>
      </c>
      <c r="AL5" s="12">
        <f t="shared" si="4"/>
        <v>6412.831390028904</v>
      </c>
      <c r="AM5" s="12">
        <f t="shared" si="4"/>
        <v>6092.1898205274583</v>
      </c>
      <c r="AN5" s="12">
        <f t="shared" si="4"/>
        <v>5787.5803295010855</v>
      </c>
      <c r="AO5" s="12">
        <f t="shared" si="4"/>
        <v>5498.2013130260311</v>
      </c>
      <c r="AP5" s="12">
        <f t="shared" si="4"/>
        <v>5223.2912473747292</v>
      </c>
    </row>
    <row r="6" spans="2:42" x14ac:dyDescent="0.3">
      <c r="B6" t="s">
        <v>86</v>
      </c>
      <c r="C6" s="11"/>
      <c r="D6" s="11"/>
      <c r="E6" s="11"/>
      <c r="F6" s="11"/>
      <c r="G6" s="11"/>
      <c r="H6" s="11"/>
      <c r="I6" s="11"/>
      <c r="J6" s="11"/>
      <c r="K6" s="11"/>
      <c r="L6" s="11">
        <v>2901</v>
      </c>
      <c r="M6" s="11">
        <v>3155</v>
      </c>
      <c r="N6" s="11">
        <v>3076</v>
      </c>
      <c r="O6" s="11">
        <v>3503</v>
      </c>
      <c r="P6" s="11">
        <v>3036</v>
      </c>
      <c r="Q6" s="11">
        <v>3045</v>
      </c>
      <c r="R6" s="11">
        <v>3349</v>
      </c>
      <c r="S6" s="11">
        <v>3387</v>
      </c>
      <c r="T6" s="11">
        <v>4126</v>
      </c>
      <c r="U6" s="11"/>
      <c r="V6" s="11"/>
      <c r="W6" s="11"/>
      <c r="AD6" s="12">
        <f t="shared" si="1"/>
        <v>12635</v>
      </c>
      <c r="AE6" s="12">
        <f t="shared" si="2"/>
        <v>12817</v>
      </c>
      <c r="AF6" s="2">
        <f t="shared" ref="AF6:AP6" si="5">AE6*(1+AF31)</f>
        <v>14611.380000000001</v>
      </c>
      <c r="AG6" s="12">
        <f t="shared" si="5"/>
        <v>15780.290400000002</v>
      </c>
      <c r="AH6" s="12">
        <f t="shared" si="5"/>
        <v>16727.107824000002</v>
      </c>
      <c r="AI6" s="12">
        <f t="shared" si="5"/>
        <v>17396.192136960002</v>
      </c>
      <c r="AJ6" s="12">
        <f t="shared" si="5"/>
        <v>17918.077901068802</v>
      </c>
      <c r="AK6" s="12">
        <f t="shared" si="5"/>
        <v>18455.620238100866</v>
      </c>
      <c r="AL6" s="12">
        <f t="shared" si="5"/>
        <v>19009.288845243893</v>
      </c>
      <c r="AM6" s="12">
        <f t="shared" si="5"/>
        <v>19579.56751060121</v>
      </c>
      <c r="AN6" s="12">
        <f t="shared" si="5"/>
        <v>20166.954535919245</v>
      </c>
      <c r="AO6" s="12">
        <f t="shared" si="5"/>
        <v>20771.963171996824</v>
      </c>
      <c r="AP6" s="12">
        <f t="shared" si="5"/>
        <v>21395.122067156728</v>
      </c>
    </row>
    <row r="7" spans="2:42" x14ac:dyDescent="0.3">
      <c r="B7" t="s">
        <v>87</v>
      </c>
      <c r="C7" s="11"/>
      <c r="D7" s="11"/>
      <c r="E7" s="11"/>
      <c r="F7" s="11"/>
      <c r="G7" s="11"/>
      <c r="H7" s="11"/>
      <c r="I7" s="11"/>
      <c r="J7" s="11"/>
      <c r="K7" s="11"/>
      <c r="L7" s="11">
        <v>1489</v>
      </c>
      <c r="M7" s="11">
        <v>1364</v>
      </c>
      <c r="N7" s="11">
        <v>1450</v>
      </c>
      <c r="O7" s="11">
        <v>1471</v>
      </c>
      <c r="P7" s="11">
        <v>1364</v>
      </c>
      <c r="Q7" s="11">
        <v>1344</v>
      </c>
      <c r="R7" s="11">
        <v>1511</v>
      </c>
      <c r="S7" s="11">
        <v>1623</v>
      </c>
      <c r="T7" s="11"/>
      <c r="U7" s="11"/>
      <c r="V7" s="11"/>
      <c r="W7" s="11"/>
      <c r="AD7" s="12">
        <f t="shared" si="1"/>
        <v>5774</v>
      </c>
      <c r="AE7" s="12">
        <f t="shared" si="2"/>
        <v>5842</v>
      </c>
      <c r="AF7" s="2">
        <f t="shared" ref="AF7:AP7" si="6">AE7*(1+AF32)</f>
        <v>5725.16</v>
      </c>
      <c r="AG7" s="12">
        <f t="shared" si="6"/>
        <v>5610.6567999999997</v>
      </c>
      <c r="AH7" s="12">
        <f t="shared" si="6"/>
        <v>5498.4436639999994</v>
      </c>
      <c r="AI7" s="12">
        <f t="shared" si="6"/>
        <v>5388.474790719999</v>
      </c>
      <c r="AJ7" s="12">
        <f t="shared" si="6"/>
        <v>5280.7052949055987</v>
      </c>
      <c r="AK7" s="12">
        <f t="shared" si="6"/>
        <v>5175.0911890074867</v>
      </c>
      <c r="AL7" s="12">
        <f t="shared" si="6"/>
        <v>5071.5893652273371</v>
      </c>
      <c r="AM7" s="12">
        <f t="shared" si="6"/>
        <v>4970.1575779227906</v>
      </c>
      <c r="AN7" s="12">
        <f t="shared" si="6"/>
        <v>4870.7544263643349</v>
      </c>
      <c r="AO7" s="12">
        <f t="shared" si="6"/>
        <v>4773.3393378370483</v>
      </c>
      <c r="AP7" s="12">
        <f t="shared" si="6"/>
        <v>4677.8725510803069</v>
      </c>
    </row>
    <row r="8" spans="2:42" x14ac:dyDescent="0.3">
      <c r="B8" t="s">
        <v>88</v>
      </c>
      <c r="C8" s="11"/>
      <c r="D8" s="11"/>
      <c r="E8" s="11"/>
      <c r="F8" s="11"/>
      <c r="G8" s="11"/>
      <c r="H8" s="11"/>
      <c r="I8" s="11"/>
      <c r="J8" s="11"/>
      <c r="K8" s="11"/>
      <c r="L8" s="11">
        <v>4831</v>
      </c>
      <c r="M8" s="11">
        <v>4172</v>
      </c>
      <c r="N8" s="11">
        <v>4732</v>
      </c>
      <c r="O8" s="11">
        <v>5175</v>
      </c>
      <c r="P8" s="11">
        <v>4369</v>
      </c>
      <c r="Q8" s="11">
        <v>4320</v>
      </c>
      <c r="R8" s="11">
        <v>4352</v>
      </c>
      <c r="S8" s="11">
        <v>4502</v>
      </c>
      <c r="T8" s="11"/>
      <c r="U8" s="11"/>
      <c r="V8" s="11"/>
      <c r="W8" s="11"/>
      <c r="AD8" s="12">
        <f t="shared" si="1"/>
        <v>18910</v>
      </c>
      <c r="AE8" s="12">
        <f t="shared" si="2"/>
        <v>17543</v>
      </c>
      <c r="AF8" s="2">
        <f t="shared" ref="AF8:AP8" si="7">AE8*(1+AF33)</f>
        <v>18069.29</v>
      </c>
      <c r="AG8" s="12">
        <f t="shared" si="7"/>
        <v>19514.833200000001</v>
      </c>
      <c r="AH8" s="12">
        <f t="shared" si="7"/>
        <v>20685.723192000001</v>
      </c>
      <c r="AI8" s="12">
        <f t="shared" si="7"/>
        <v>21513.152119680002</v>
      </c>
      <c r="AJ8" s="12">
        <f t="shared" si="7"/>
        <v>22158.546683270404</v>
      </c>
      <c r="AK8" s="12">
        <f t="shared" si="7"/>
        <v>22601.717616935814</v>
      </c>
      <c r="AL8" s="12">
        <f t="shared" si="7"/>
        <v>23053.75196927453</v>
      </c>
      <c r="AM8" s="12">
        <f t="shared" si="7"/>
        <v>23514.827008660021</v>
      </c>
      <c r="AN8" s="12">
        <f t="shared" si="7"/>
        <v>23985.12354883322</v>
      </c>
      <c r="AO8" s="12">
        <f t="shared" si="7"/>
        <v>24464.826019809887</v>
      </c>
      <c r="AP8" s="12">
        <f t="shared" si="7"/>
        <v>24954.122540206085</v>
      </c>
    </row>
    <row r="9" spans="2:42" x14ac:dyDescent="0.3">
      <c r="B9" t="s">
        <v>89</v>
      </c>
      <c r="C9" s="11"/>
      <c r="D9" s="11"/>
      <c r="E9" s="11"/>
      <c r="F9" s="11"/>
      <c r="G9" s="11"/>
      <c r="H9" s="11"/>
      <c r="I9" s="11"/>
      <c r="J9" s="11"/>
      <c r="K9" s="11"/>
      <c r="L9" s="11">
        <v>1440</v>
      </c>
      <c r="M9" s="11">
        <v>1419</v>
      </c>
      <c r="N9" s="11">
        <v>1452</v>
      </c>
      <c r="O9" s="11">
        <v>1297</v>
      </c>
      <c r="P9" s="11">
        <v>775</v>
      </c>
      <c r="Q9" s="11">
        <v>968</v>
      </c>
      <c r="R9" s="11">
        <v>1039</v>
      </c>
      <c r="S9" s="11">
        <v>1042</v>
      </c>
      <c r="T9" s="11"/>
      <c r="U9" s="11"/>
      <c r="V9" s="11"/>
      <c r="W9" s="11"/>
      <c r="AD9" s="12">
        <f t="shared" si="1"/>
        <v>5608</v>
      </c>
      <c r="AE9" s="12">
        <f t="shared" si="2"/>
        <v>3824</v>
      </c>
      <c r="AF9" s="2">
        <f t="shared" ref="AF9:AP9" si="8">AE9*(1+AF34)</f>
        <v>3632.7999999999997</v>
      </c>
      <c r="AG9" s="12">
        <f t="shared" si="8"/>
        <v>3451.1599999999994</v>
      </c>
      <c r="AH9" s="12">
        <f t="shared" si="8"/>
        <v>3278.6019999999994</v>
      </c>
      <c r="AI9" s="12">
        <f t="shared" si="8"/>
        <v>3114.6718999999994</v>
      </c>
      <c r="AJ9" s="12">
        <f t="shared" si="8"/>
        <v>2958.9383049999992</v>
      </c>
      <c r="AK9" s="12">
        <f t="shared" si="8"/>
        <v>2810.9913897499991</v>
      </c>
      <c r="AL9" s="12">
        <f t="shared" si="8"/>
        <v>2670.4418202624993</v>
      </c>
      <c r="AM9" s="12">
        <f t="shared" si="8"/>
        <v>2536.9197292493741</v>
      </c>
      <c r="AN9" s="12">
        <f t="shared" si="8"/>
        <v>2410.0737427869053</v>
      </c>
      <c r="AO9" s="12">
        <f t="shared" si="8"/>
        <v>2289.5700556475599</v>
      </c>
      <c r="AP9" s="12">
        <f t="shared" si="8"/>
        <v>2175.0915528651817</v>
      </c>
    </row>
    <row r="10" spans="2:42" x14ac:dyDescent="0.3">
      <c r="B10" t="s">
        <v>93</v>
      </c>
      <c r="C10" s="11"/>
      <c r="D10" s="11"/>
      <c r="E10" s="11"/>
      <c r="F10" s="11"/>
      <c r="G10" s="11"/>
      <c r="H10" s="11"/>
      <c r="I10" s="11"/>
      <c r="J10" s="11"/>
      <c r="K10" s="11"/>
      <c r="L10" s="11">
        <v>-4713</v>
      </c>
      <c r="M10" s="11">
        <v>-3941</v>
      </c>
      <c r="N10" s="11">
        <v>-4419</v>
      </c>
      <c r="O10" s="11">
        <v>-4884</v>
      </c>
      <c r="P10" s="11">
        <v>-4353</v>
      </c>
      <c r="Q10" s="11">
        <v>-4254</v>
      </c>
      <c r="R10" s="11">
        <v>-4297</v>
      </c>
      <c r="S10" s="11">
        <v>-4311</v>
      </c>
      <c r="T10" s="11"/>
      <c r="U10" s="11"/>
      <c r="V10" s="11"/>
      <c r="W10" s="11"/>
      <c r="AD10" s="12">
        <f t="shared" si="1"/>
        <v>-17957</v>
      </c>
      <c r="AE10" s="12">
        <f t="shared" si="2"/>
        <v>-17215</v>
      </c>
      <c r="AF10" s="2">
        <f t="shared" ref="AF10" si="9">AE10*1.01</f>
        <v>-17387.150000000001</v>
      </c>
      <c r="AG10" s="12">
        <f>AF10*0.99</f>
        <v>-17213.2785</v>
      </c>
      <c r="AH10" s="12">
        <f t="shared" ref="AH10:AP10" si="10">AG10*0.99</f>
        <v>-17041.145714999999</v>
      </c>
      <c r="AI10" s="12">
        <f t="shared" si="10"/>
        <v>-16870.734257849999</v>
      </c>
      <c r="AJ10" s="12">
        <f t="shared" si="10"/>
        <v>-16702.026915271501</v>
      </c>
      <c r="AK10" s="12">
        <f t="shared" si="10"/>
        <v>-16535.006646118785</v>
      </c>
      <c r="AL10" s="12">
        <f t="shared" si="10"/>
        <v>-16369.656579657598</v>
      </c>
      <c r="AM10" s="12">
        <f t="shared" si="10"/>
        <v>-16205.960013861022</v>
      </c>
      <c r="AN10" s="12">
        <f t="shared" si="10"/>
        <v>-16043.900413722411</v>
      </c>
      <c r="AO10" s="12">
        <f t="shared" si="10"/>
        <v>-15883.461409585187</v>
      </c>
      <c r="AP10" s="12">
        <f t="shared" si="10"/>
        <v>-15724.626795489334</v>
      </c>
    </row>
    <row r="11" spans="2:42" s="1" customFormat="1" x14ac:dyDescent="0.3">
      <c r="B11" s="1" t="s">
        <v>12</v>
      </c>
      <c r="C11" s="7">
        <v>19978</v>
      </c>
      <c r="D11" s="7">
        <v>19673</v>
      </c>
      <c r="E11" s="7">
        <v>19631</v>
      </c>
      <c r="F11" s="7">
        <v>19192</v>
      </c>
      <c r="G11" s="7">
        <v>20528</v>
      </c>
      <c r="H11" s="7">
        <v>18353</v>
      </c>
      <c r="I11" s="7">
        <v>15321</v>
      </c>
      <c r="J11" s="7">
        <v>15338</v>
      </c>
      <c r="K11" s="7">
        <v>14042</v>
      </c>
      <c r="L11" s="7">
        <f>SUM(L3:L10)</f>
        <v>11715</v>
      </c>
      <c r="M11" s="7">
        <f>SUM(M3:M10)</f>
        <v>12949</v>
      </c>
      <c r="N11" s="7">
        <f>SUM(N3:N10)</f>
        <v>14158</v>
      </c>
      <c r="O11" s="7">
        <v>15406</v>
      </c>
      <c r="P11" s="7">
        <f>SUM(P3:P10)</f>
        <v>12724</v>
      </c>
      <c r="Q11" s="7">
        <f>SUM(Q3:Q10)</f>
        <v>12833</v>
      </c>
      <c r="R11" s="7">
        <f>SUM(R3:R10)</f>
        <v>13284</v>
      </c>
      <c r="S11" s="7">
        <v>14260</v>
      </c>
      <c r="T11" s="7">
        <v>12667</v>
      </c>
      <c r="U11" s="7">
        <f>Q11*0.94</f>
        <v>12063.019999999999</v>
      </c>
      <c r="V11" s="7">
        <f>R11*0.96</f>
        <v>12752.64</v>
      </c>
      <c r="W11" s="7">
        <f>S11*0.97</f>
        <v>13832.199999999999</v>
      </c>
      <c r="Y11" s="7">
        <v>70848</v>
      </c>
      <c r="Z11" s="7">
        <v>71965</v>
      </c>
      <c r="AA11" s="7">
        <v>77867</v>
      </c>
      <c r="AB11" s="7">
        <f>SUM(D11:G11)</f>
        <v>79024</v>
      </c>
      <c r="AC11" s="7">
        <f>SUM(H11:K11)</f>
        <v>63054</v>
      </c>
      <c r="AD11" s="7">
        <f>SUM(L11:O11)</f>
        <v>54228</v>
      </c>
      <c r="AE11" s="7">
        <f>SUM(P11:S11)</f>
        <v>53101</v>
      </c>
      <c r="AF11" s="7">
        <f>SUM(T11:W11)</f>
        <v>51314.859999999993</v>
      </c>
      <c r="AG11" s="7">
        <f>AF11*1.1</f>
        <v>56446.345999999998</v>
      </c>
      <c r="AH11" s="7">
        <f>AG11*1.07</f>
        <v>60397.590219999998</v>
      </c>
      <c r="AI11" s="7">
        <f>AH11*1.05</f>
        <v>63417.469730999997</v>
      </c>
      <c r="AJ11" s="7">
        <f>AI11*1.04</f>
        <v>65954.168520239997</v>
      </c>
      <c r="AK11" s="7">
        <f>AJ11*1.03</f>
        <v>67932.793575847201</v>
      </c>
      <c r="AL11" s="7">
        <f t="shared" ref="AL11:AP11" si="11">AK11*1.03</f>
        <v>69970.777383122622</v>
      </c>
      <c r="AM11" s="7">
        <f t="shared" si="11"/>
        <v>72069.900704616302</v>
      </c>
      <c r="AN11" s="7">
        <f t="shared" si="11"/>
        <v>74231.997725754787</v>
      </c>
      <c r="AO11" s="7">
        <f t="shared" si="11"/>
        <v>76458.957657527426</v>
      </c>
      <c r="AP11" s="7">
        <f t="shared" si="11"/>
        <v>78752.726387253249</v>
      </c>
    </row>
    <row r="12" spans="2:42" x14ac:dyDescent="0.3">
      <c r="B12" t="s">
        <v>20</v>
      </c>
      <c r="C12" s="2">
        <v>8630</v>
      </c>
      <c r="D12" s="2">
        <v>8819</v>
      </c>
      <c r="E12" s="2">
        <v>8425</v>
      </c>
      <c r="F12" s="2">
        <v>8446</v>
      </c>
      <c r="G12" s="2">
        <v>9519</v>
      </c>
      <c r="H12" s="2">
        <v>9109</v>
      </c>
      <c r="I12" s="2">
        <v>9734</v>
      </c>
      <c r="J12" s="2">
        <v>8803</v>
      </c>
      <c r="K12" s="2">
        <v>8542</v>
      </c>
      <c r="L12" s="2">
        <v>7707</v>
      </c>
      <c r="M12" s="2">
        <v>8311</v>
      </c>
      <c r="N12" s="2">
        <v>8140</v>
      </c>
      <c r="O12" s="2">
        <v>8359</v>
      </c>
      <c r="P12" s="2">
        <v>7507</v>
      </c>
      <c r="Q12" s="2">
        <v>8286</v>
      </c>
      <c r="R12" s="2">
        <v>11287</v>
      </c>
      <c r="S12" s="2">
        <v>8676</v>
      </c>
      <c r="T12" s="2">
        <v>7995</v>
      </c>
      <c r="U12" s="2">
        <f>U11-U13</f>
        <v>7660.0176999999994</v>
      </c>
      <c r="V12" s="2">
        <f t="shared" ref="V12:W12" si="12">V11-V13</f>
        <v>8034.1632</v>
      </c>
      <c r="W12" s="2">
        <f t="shared" si="12"/>
        <v>8575.9639999999999</v>
      </c>
      <c r="Y12" s="2">
        <v>27111</v>
      </c>
      <c r="Z12" s="2">
        <v>29825</v>
      </c>
      <c r="AA12" s="2">
        <v>34255</v>
      </c>
      <c r="AB12" s="2">
        <f>SUM(D12:G12)</f>
        <v>35209</v>
      </c>
      <c r="AC12" s="2">
        <f>SUM(H12:K12)</f>
        <v>36188</v>
      </c>
      <c r="AD12" s="2">
        <f>SUM(L12:O12)</f>
        <v>32517</v>
      </c>
      <c r="AE12" s="2">
        <f>SUM(P12:S12)</f>
        <v>35756</v>
      </c>
      <c r="AF12" s="2">
        <f>SUM(T12:W12)</f>
        <v>32265.144899999999</v>
      </c>
      <c r="AG12" s="2">
        <f t="shared" ref="AG12:AP12" si="13">AG11-AG13</f>
        <v>33867.8076</v>
      </c>
      <c r="AH12" s="2">
        <f t="shared" si="13"/>
        <v>35030.602327600005</v>
      </c>
      <c r="AI12" s="2">
        <f t="shared" si="13"/>
        <v>36782.132443980001</v>
      </c>
      <c r="AJ12" s="2">
        <f t="shared" si="13"/>
        <v>38253.417741739198</v>
      </c>
      <c r="AK12" s="2">
        <f t="shared" si="13"/>
        <v>39401.02027399138</v>
      </c>
      <c r="AL12" s="2">
        <f t="shared" si="13"/>
        <v>40583.050882211122</v>
      </c>
      <c r="AM12" s="2">
        <f t="shared" si="13"/>
        <v>41800.542408677458</v>
      </c>
      <c r="AN12" s="2">
        <f t="shared" si="13"/>
        <v>43054.558680937778</v>
      </c>
      <c r="AO12" s="2">
        <f t="shared" si="13"/>
        <v>44346.195441365911</v>
      </c>
      <c r="AP12" s="2">
        <f t="shared" si="13"/>
        <v>45676.581304606887</v>
      </c>
    </row>
    <row r="13" spans="2:42" s="1" customFormat="1" x14ac:dyDescent="0.3">
      <c r="B13" s="1" t="s">
        <v>21</v>
      </c>
      <c r="C13" s="7">
        <f t="shared" ref="C13:T13" si="14">C11-C12</f>
        <v>11348</v>
      </c>
      <c r="D13" s="7">
        <f t="shared" si="14"/>
        <v>10854</v>
      </c>
      <c r="E13" s="7">
        <f t="shared" si="14"/>
        <v>11206</v>
      </c>
      <c r="F13" s="7">
        <f t="shared" si="14"/>
        <v>10746</v>
      </c>
      <c r="G13" s="7">
        <f t="shared" si="14"/>
        <v>11009</v>
      </c>
      <c r="H13" s="7">
        <f t="shared" si="14"/>
        <v>9244</v>
      </c>
      <c r="I13" s="7">
        <f t="shared" si="14"/>
        <v>5587</v>
      </c>
      <c r="J13" s="7">
        <f t="shared" si="14"/>
        <v>6535</v>
      </c>
      <c r="K13" s="7">
        <f t="shared" si="14"/>
        <v>5500</v>
      </c>
      <c r="L13" s="7">
        <f t="shared" si="14"/>
        <v>4008</v>
      </c>
      <c r="M13" s="7">
        <f t="shared" si="14"/>
        <v>4638</v>
      </c>
      <c r="N13" s="7">
        <f t="shared" si="14"/>
        <v>6018</v>
      </c>
      <c r="O13" s="7">
        <f t="shared" si="14"/>
        <v>7047</v>
      </c>
      <c r="P13" s="7">
        <f t="shared" si="14"/>
        <v>5217</v>
      </c>
      <c r="Q13" s="7">
        <f t="shared" si="14"/>
        <v>4547</v>
      </c>
      <c r="R13" s="7">
        <f t="shared" si="14"/>
        <v>1997</v>
      </c>
      <c r="S13" s="7">
        <f t="shared" si="14"/>
        <v>5584</v>
      </c>
      <c r="T13" s="7">
        <f t="shared" si="14"/>
        <v>4672</v>
      </c>
      <c r="U13" s="7">
        <f>U11*0.365</f>
        <v>4403.0022999999992</v>
      </c>
      <c r="V13" s="7">
        <f>V11*0.37</f>
        <v>4718.4767999999995</v>
      </c>
      <c r="W13" s="7">
        <f>W11*0.38</f>
        <v>5256.2359999999999</v>
      </c>
      <c r="Y13" s="7">
        <f t="shared" ref="Y13:AF13" si="15">Y11-Y12</f>
        <v>43737</v>
      </c>
      <c r="Z13" s="7">
        <f t="shared" si="15"/>
        <v>42140</v>
      </c>
      <c r="AA13" s="7">
        <f t="shared" si="15"/>
        <v>43612</v>
      </c>
      <c r="AB13" s="7">
        <f t="shared" si="15"/>
        <v>43815</v>
      </c>
      <c r="AC13" s="7">
        <f t="shared" si="15"/>
        <v>26866</v>
      </c>
      <c r="AD13" s="7">
        <f t="shared" si="15"/>
        <v>21711</v>
      </c>
      <c r="AE13" s="7">
        <f t="shared" si="15"/>
        <v>17345</v>
      </c>
      <c r="AF13" s="7">
        <f t="shared" si="15"/>
        <v>19049.715099999994</v>
      </c>
      <c r="AG13" s="7">
        <f>AG11*0.4</f>
        <v>22578.538400000001</v>
      </c>
      <c r="AH13" s="7">
        <f>AH11*0.42</f>
        <v>25366.987892399997</v>
      </c>
      <c r="AI13" s="7">
        <f t="shared" ref="AI13:AP13" si="16">AI11*0.42</f>
        <v>26635.337287019996</v>
      </c>
      <c r="AJ13" s="7">
        <f t="shared" si="16"/>
        <v>27700.750778500798</v>
      </c>
      <c r="AK13" s="7">
        <f t="shared" si="16"/>
        <v>28531.773301855825</v>
      </c>
      <c r="AL13" s="7">
        <f t="shared" si="16"/>
        <v>29387.7265009115</v>
      </c>
      <c r="AM13" s="7">
        <f t="shared" si="16"/>
        <v>30269.358295938844</v>
      </c>
      <c r="AN13" s="7">
        <f t="shared" si="16"/>
        <v>31177.439044817009</v>
      </c>
      <c r="AO13" s="7">
        <f t="shared" si="16"/>
        <v>32112.762216161518</v>
      </c>
      <c r="AP13" s="7">
        <f t="shared" si="16"/>
        <v>33076.145082646362</v>
      </c>
    </row>
    <row r="14" spans="2:42" x14ac:dyDescent="0.3">
      <c r="B14" t="s">
        <v>22</v>
      </c>
      <c r="C14" s="2">
        <v>3655</v>
      </c>
      <c r="D14" s="2">
        <v>3623</v>
      </c>
      <c r="E14" s="2">
        <v>3715</v>
      </c>
      <c r="F14" s="2">
        <v>3803</v>
      </c>
      <c r="G14" s="2">
        <v>4049</v>
      </c>
      <c r="H14" s="2">
        <v>4362</v>
      </c>
      <c r="I14" s="2">
        <v>4400</v>
      </c>
      <c r="J14" s="2">
        <v>4302</v>
      </c>
      <c r="K14" s="2">
        <v>4464</v>
      </c>
      <c r="L14" s="2">
        <v>4109</v>
      </c>
      <c r="M14" s="2">
        <v>4080</v>
      </c>
      <c r="N14" s="2">
        <v>3870</v>
      </c>
      <c r="O14" s="2">
        <v>3987</v>
      </c>
      <c r="P14" s="2">
        <v>4382</v>
      </c>
      <c r="Q14" s="2">
        <v>4239</v>
      </c>
      <c r="R14" s="2">
        <v>4049</v>
      </c>
      <c r="S14" s="2">
        <v>3876</v>
      </c>
      <c r="T14" s="2">
        <v>3640</v>
      </c>
      <c r="U14" s="2">
        <f t="shared" ref="U14" si="17">Q14*0.98</f>
        <v>4154.22</v>
      </c>
      <c r="V14" s="2">
        <f>R14*0.98</f>
        <v>3968.02</v>
      </c>
      <c r="W14" s="2">
        <f>S14*1.05</f>
        <v>4069.8</v>
      </c>
      <c r="Y14" s="2">
        <v>13543</v>
      </c>
      <c r="Z14" s="2">
        <v>13362</v>
      </c>
      <c r="AA14" s="2">
        <v>13556</v>
      </c>
      <c r="AB14" s="2">
        <f>SUM(D14:G14)</f>
        <v>15190</v>
      </c>
      <c r="AC14" s="2">
        <f>SUM(H14:K14)</f>
        <v>17528</v>
      </c>
      <c r="AD14" s="2">
        <f>SUM(L14:O14)</f>
        <v>16046</v>
      </c>
      <c r="AE14" s="2">
        <f>SUM(P14:S14)</f>
        <v>16546</v>
      </c>
      <c r="AF14" s="2">
        <f>SUM(T14:W14)</f>
        <v>15832.04</v>
      </c>
      <c r="AG14" s="2">
        <f>AF14*1.02</f>
        <v>16148.680800000002</v>
      </c>
      <c r="AH14" s="2">
        <f>AG14*1.01</f>
        <v>16310.167608000002</v>
      </c>
      <c r="AI14" s="2">
        <f>AH14*1.01</f>
        <v>16473.269284080001</v>
      </c>
      <c r="AJ14" s="2">
        <f t="shared" ref="AJ14:AP15" si="18">AI14*1.01</f>
        <v>16638.001976920801</v>
      </c>
      <c r="AK14" s="2">
        <f t="shared" si="18"/>
        <v>16804.381996690008</v>
      </c>
      <c r="AL14" s="2">
        <f t="shared" si="18"/>
        <v>16972.425816656909</v>
      </c>
      <c r="AM14" s="2">
        <f t="shared" si="18"/>
        <v>17142.150074823479</v>
      </c>
      <c r="AN14" s="2">
        <f t="shared" si="18"/>
        <v>17313.571575571714</v>
      </c>
      <c r="AO14" s="2">
        <f t="shared" si="18"/>
        <v>17486.707291327431</v>
      </c>
      <c r="AP14" s="2">
        <f t="shared" si="18"/>
        <v>17661.574364240707</v>
      </c>
    </row>
    <row r="15" spans="2:42" x14ac:dyDescent="0.3">
      <c r="B15" t="s">
        <v>23</v>
      </c>
      <c r="C15" s="2">
        <v>1757</v>
      </c>
      <c r="D15" s="2">
        <v>1328</v>
      </c>
      <c r="E15" s="2">
        <v>1599</v>
      </c>
      <c r="F15" s="2">
        <v>1674</v>
      </c>
      <c r="G15" s="2">
        <v>1942</v>
      </c>
      <c r="H15" s="2">
        <v>1752</v>
      </c>
      <c r="I15" s="2">
        <v>1800</v>
      </c>
      <c r="J15" s="2">
        <v>1744</v>
      </c>
      <c r="K15" s="2">
        <v>1706</v>
      </c>
      <c r="L15" s="2">
        <v>1303</v>
      </c>
      <c r="M15" s="2">
        <v>1374</v>
      </c>
      <c r="N15" s="2">
        <v>1340</v>
      </c>
      <c r="O15" s="2">
        <v>1617</v>
      </c>
      <c r="P15" s="2">
        <v>1556</v>
      </c>
      <c r="Q15" s="2">
        <v>1329</v>
      </c>
      <c r="R15" s="2">
        <v>1383</v>
      </c>
      <c r="S15" s="2">
        <v>1239</v>
      </c>
      <c r="T15" s="2">
        <v>1177</v>
      </c>
      <c r="U15" s="2">
        <f t="shared" ref="U15:V15" si="19">Q15*0.85</f>
        <v>1129.6499999999999</v>
      </c>
      <c r="V15" s="2">
        <f t="shared" si="19"/>
        <v>1175.55</v>
      </c>
      <c r="W15" s="2">
        <f>S15*1.03</f>
        <v>1276.17</v>
      </c>
      <c r="Y15" s="2">
        <v>6950</v>
      </c>
      <c r="Z15" s="2">
        <v>6350</v>
      </c>
      <c r="AA15" s="2">
        <v>6180</v>
      </c>
      <c r="AB15" s="2">
        <f>SUM(D15:G15)</f>
        <v>6543</v>
      </c>
      <c r="AC15" s="2">
        <f>SUM(H15:K15)</f>
        <v>7002</v>
      </c>
      <c r="AD15" s="2">
        <f>SUM(L15:O15)</f>
        <v>5634</v>
      </c>
      <c r="AE15" s="2">
        <f>SUM(P15:S15)</f>
        <v>5507</v>
      </c>
      <c r="AF15" s="2">
        <f>SUM(T15:W15)</f>
        <v>4758.37</v>
      </c>
      <c r="AG15" s="2">
        <f>AF15*1.02</f>
        <v>4853.5374000000002</v>
      </c>
      <c r="AH15" s="2">
        <f t="shared" ref="AH15:AK15" si="20">AG15*1.02</f>
        <v>4950.6081480000003</v>
      </c>
      <c r="AI15" s="2">
        <f t="shared" si="20"/>
        <v>5049.6203109600001</v>
      </c>
      <c r="AJ15" s="2">
        <f t="shared" si="20"/>
        <v>5150.6127171792004</v>
      </c>
      <c r="AK15" s="2">
        <f t="shared" si="20"/>
        <v>5253.6249715227841</v>
      </c>
      <c r="AL15" s="2">
        <f>AK15*1.01</f>
        <v>5306.1612212380123</v>
      </c>
      <c r="AM15" s="2">
        <f t="shared" si="18"/>
        <v>5359.2228334503925</v>
      </c>
      <c r="AN15" s="2">
        <f t="shared" si="18"/>
        <v>5412.8150617848969</v>
      </c>
      <c r="AO15" s="2">
        <f t="shared" si="18"/>
        <v>5466.9432124027462</v>
      </c>
      <c r="AP15" s="2">
        <f t="shared" si="18"/>
        <v>5521.6126445267737</v>
      </c>
    </row>
    <row r="16" spans="2:42" x14ac:dyDescent="0.3">
      <c r="B16" t="s">
        <v>24</v>
      </c>
      <c r="C16" s="2">
        <v>52</v>
      </c>
      <c r="D16" s="2">
        <v>2209</v>
      </c>
      <c r="E16" s="2">
        <v>346</v>
      </c>
      <c r="F16" s="2">
        <v>42</v>
      </c>
      <c r="G16" s="2">
        <v>29</v>
      </c>
      <c r="H16" s="2">
        <v>-1211</v>
      </c>
      <c r="I16" s="2">
        <v>87</v>
      </c>
      <c r="J16" s="2">
        <v>664</v>
      </c>
      <c r="K16" s="2">
        <v>462</v>
      </c>
      <c r="L16" s="2">
        <v>64</v>
      </c>
      <c r="M16" s="2">
        <v>200</v>
      </c>
      <c r="N16" s="2">
        <v>816</v>
      </c>
      <c r="O16" s="2">
        <v>-1412</v>
      </c>
      <c r="P16" s="2">
        <v>348</v>
      </c>
      <c r="Q16" s="2">
        <v>943</v>
      </c>
      <c r="R16" s="2">
        <v>5622</v>
      </c>
      <c r="S16" s="2">
        <v>57</v>
      </c>
      <c r="T16" s="2">
        <v>156</v>
      </c>
      <c r="U16" s="2">
        <v>100</v>
      </c>
      <c r="V16" s="2">
        <v>100</v>
      </c>
      <c r="W16" s="2">
        <v>50</v>
      </c>
      <c r="Y16" s="2">
        <v>-72</v>
      </c>
      <c r="Z16" s="2">
        <v>393</v>
      </c>
      <c r="AA16" s="2">
        <v>198</v>
      </c>
      <c r="AB16" s="2">
        <f>SUM(D16:G16)</f>
        <v>2626</v>
      </c>
      <c r="AC16" s="2">
        <f>SUM(H16:K16)</f>
        <v>2</v>
      </c>
      <c r="AD16" s="2">
        <f>SUM(L16:O16)</f>
        <v>-332</v>
      </c>
      <c r="AE16" s="2">
        <f>SUM(P16:S16)</f>
        <v>6970</v>
      </c>
      <c r="AF16" s="2">
        <f>SUM(T16:W16)</f>
        <v>406</v>
      </c>
      <c r="AG16" s="2">
        <f>AF16*0.7</f>
        <v>284.2</v>
      </c>
      <c r="AH16" s="2">
        <f t="shared" ref="AH16:AP16" si="21">AG16*0.7</f>
        <v>198.93999999999997</v>
      </c>
      <c r="AI16" s="2">
        <f t="shared" si="21"/>
        <v>139.25799999999998</v>
      </c>
      <c r="AJ16" s="2">
        <f t="shared" si="21"/>
        <v>97.480599999999981</v>
      </c>
      <c r="AK16" s="2">
        <f t="shared" si="21"/>
        <v>68.236419999999981</v>
      </c>
      <c r="AL16" s="2">
        <f t="shared" si="21"/>
        <v>47.765493999999983</v>
      </c>
      <c r="AM16" s="2">
        <f t="shared" si="21"/>
        <v>33.435845799999989</v>
      </c>
      <c r="AN16" s="2">
        <f t="shared" si="21"/>
        <v>23.405092059999991</v>
      </c>
      <c r="AO16" s="2">
        <f t="shared" si="21"/>
        <v>16.383564441999994</v>
      </c>
      <c r="AP16" s="2">
        <f t="shared" si="21"/>
        <v>11.468495109399996</v>
      </c>
    </row>
    <row r="17" spans="2:152" x14ac:dyDescent="0.3">
      <c r="B17" t="s">
        <v>26</v>
      </c>
      <c r="C17" s="2">
        <f t="shared" ref="C17:S17" si="22">SUM(C14:C16)</f>
        <v>5464</v>
      </c>
      <c r="D17" s="2">
        <f t="shared" si="22"/>
        <v>7160</v>
      </c>
      <c r="E17" s="2">
        <f t="shared" si="22"/>
        <v>5660</v>
      </c>
      <c r="F17" s="2">
        <f t="shared" si="22"/>
        <v>5519</v>
      </c>
      <c r="G17" s="2">
        <f t="shared" si="22"/>
        <v>6020</v>
      </c>
      <c r="H17" s="2">
        <f t="shared" si="22"/>
        <v>4903</v>
      </c>
      <c r="I17" s="2">
        <f t="shared" si="22"/>
        <v>6287</v>
      </c>
      <c r="J17" s="2">
        <f t="shared" si="22"/>
        <v>6710</v>
      </c>
      <c r="K17" s="2">
        <f t="shared" si="22"/>
        <v>6632</v>
      </c>
      <c r="L17" s="2">
        <f t="shared" si="22"/>
        <v>5476</v>
      </c>
      <c r="M17" s="2">
        <f t="shared" si="22"/>
        <v>5654</v>
      </c>
      <c r="N17" s="2">
        <f t="shared" si="22"/>
        <v>6026</v>
      </c>
      <c r="O17" s="2">
        <f t="shared" si="22"/>
        <v>4192</v>
      </c>
      <c r="P17" s="2">
        <f t="shared" si="22"/>
        <v>6286</v>
      </c>
      <c r="Q17" s="2">
        <f t="shared" si="22"/>
        <v>6511</v>
      </c>
      <c r="R17" s="2">
        <f t="shared" si="22"/>
        <v>11054</v>
      </c>
      <c r="S17" s="2">
        <f t="shared" si="22"/>
        <v>5172</v>
      </c>
      <c r="T17" s="2">
        <f t="shared" ref="T17:W17" si="23">SUM(T14:T16)</f>
        <v>4973</v>
      </c>
      <c r="U17" s="2">
        <f t="shared" si="23"/>
        <v>5383.87</v>
      </c>
      <c r="V17" s="2">
        <f t="shared" si="23"/>
        <v>5243.57</v>
      </c>
      <c r="W17" s="2">
        <f t="shared" si="23"/>
        <v>5395.97</v>
      </c>
      <c r="Y17" s="2">
        <f t="shared" ref="Y17:AE17" si="24">SUM(Y14:Y16)</f>
        <v>20421</v>
      </c>
      <c r="Z17" s="2">
        <f t="shared" si="24"/>
        <v>20105</v>
      </c>
      <c r="AA17" s="2">
        <f t="shared" si="24"/>
        <v>19934</v>
      </c>
      <c r="AB17" s="2">
        <f t="shared" si="24"/>
        <v>24359</v>
      </c>
      <c r="AC17" s="2">
        <f t="shared" si="24"/>
        <v>24532</v>
      </c>
      <c r="AD17" s="2">
        <f t="shared" si="24"/>
        <v>21348</v>
      </c>
      <c r="AE17" s="2">
        <f t="shared" si="24"/>
        <v>29023</v>
      </c>
      <c r="AF17" s="2">
        <f t="shared" ref="AF17:AP17" si="25">SUM(AF14:AF16)</f>
        <v>20996.41</v>
      </c>
      <c r="AG17" s="2">
        <f t="shared" si="25"/>
        <v>21286.418200000004</v>
      </c>
      <c r="AH17" s="2">
        <f t="shared" si="25"/>
        <v>21459.715756000001</v>
      </c>
      <c r="AI17" s="2">
        <f t="shared" si="25"/>
        <v>21662.147595040002</v>
      </c>
      <c r="AJ17" s="2">
        <f t="shared" si="25"/>
        <v>21886.0952941</v>
      </c>
      <c r="AK17" s="2">
        <f t="shared" si="25"/>
        <v>22126.243388212795</v>
      </c>
      <c r="AL17" s="2">
        <f t="shared" si="25"/>
        <v>22326.352531894921</v>
      </c>
      <c r="AM17" s="2">
        <f t="shared" si="25"/>
        <v>22534.808754073871</v>
      </c>
      <c r="AN17" s="2">
        <f t="shared" si="25"/>
        <v>22749.791729416611</v>
      </c>
      <c r="AO17" s="2">
        <f t="shared" si="25"/>
        <v>22970.034068172175</v>
      </c>
      <c r="AP17" s="2">
        <f t="shared" si="25"/>
        <v>23194.655503876878</v>
      </c>
    </row>
    <row r="18" spans="2:152" s="1" customFormat="1" x14ac:dyDescent="0.3">
      <c r="B18" s="1" t="s">
        <v>25</v>
      </c>
      <c r="C18" s="7">
        <f t="shared" ref="C18:S18" si="26">C13-C17</f>
        <v>5884</v>
      </c>
      <c r="D18" s="7">
        <f t="shared" si="26"/>
        <v>3694</v>
      </c>
      <c r="E18" s="7">
        <f t="shared" si="26"/>
        <v>5546</v>
      </c>
      <c r="F18" s="7">
        <f t="shared" si="26"/>
        <v>5227</v>
      </c>
      <c r="G18" s="7">
        <f t="shared" si="26"/>
        <v>4989</v>
      </c>
      <c r="H18" s="7">
        <f t="shared" si="26"/>
        <v>4341</v>
      </c>
      <c r="I18" s="7">
        <f t="shared" si="26"/>
        <v>-700</v>
      </c>
      <c r="J18" s="7">
        <f t="shared" si="26"/>
        <v>-175</v>
      </c>
      <c r="K18" s="7">
        <f t="shared" si="26"/>
        <v>-1132</v>
      </c>
      <c r="L18" s="7">
        <f t="shared" si="26"/>
        <v>-1468</v>
      </c>
      <c r="M18" s="7">
        <f t="shared" si="26"/>
        <v>-1016</v>
      </c>
      <c r="N18" s="7">
        <f t="shared" si="26"/>
        <v>-8</v>
      </c>
      <c r="O18" s="7">
        <f t="shared" si="26"/>
        <v>2855</v>
      </c>
      <c r="P18" s="7">
        <f t="shared" si="26"/>
        <v>-1069</v>
      </c>
      <c r="Q18" s="7">
        <f t="shared" si="26"/>
        <v>-1964</v>
      </c>
      <c r="R18" s="7">
        <f t="shared" si="26"/>
        <v>-9057</v>
      </c>
      <c r="S18" s="7">
        <f t="shared" si="26"/>
        <v>412</v>
      </c>
      <c r="T18" s="7">
        <f t="shared" ref="T18:W18" si="27">T13-T17</f>
        <v>-301</v>
      </c>
      <c r="U18" s="7">
        <f t="shared" si="27"/>
        <v>-980.8677000000007</v>
      </c>
      <c r="V18" s="7">
        <f t="shared" si="27"/>
        <v>-525.09320000000025</v>
      </c>
      <c r="W18" s="7">
        <f t="shared" si="27"/>
        <v>-139.73400000000038</v>
      </c>
      <c r="Y18" s="7">
        <f t="shared" ref="Y18:AE18" si="28">Y13-Y17</f>
        <v>23316</v>
      </c>
      <c r="Z18" s="7">
        <f t="shared" si="28"/>
        <v>22035</v>
      </c>
      <c r="AA18" s="7">
        <f t="shared" si="28"/>
        <v>23678</v>
      </c>
      <c r="AB18" s="7">
        <f t="shared" si="28"/>
        <v>19456</v>
      </c>
      <c r="AC18" s="7">
        <f t="shared" si="28"/>
        <v>2334</v>
      </c>
      <c r="AD18" s="7">
        <f t="shared" si="28"/>
        <v>363</v>
      </c>
      <c r="AE18" s="7">
        <f t="shared" si="28"/>
        <v>-11678</v>
      </c>
      <c r="AF18" s="7">
        <f t="shared" ref="AF18:AP18" si="29">AF13-AF17</f>
        <v>-1946.6949000000059</v>
      </c>
      <c r="AG18" s="7">
        <f t="shared" si="29"/>
        <v>1292.1201999999976</v>
      </c>
      <c r="AH18" s="7">
        <f t="shared" si="29"/>
        <v>3907.2721363999954</v>
      </c>
      <c r="AI18" s="7">
        <f t="shared" si="29"/>
        <v>4973.1896919799947</v>
      </c>
      <c r="AJ18" s="7">
        <f t="shared" si="29"/>
        <v>5814.6554844007987</v>
      </c>
      <c r="AK18" s="7">
        <f t="shared" si="29"/>
        <v>6405.5299136430294</v>
      </c>
      <c r="AL18" s="7">
        <f t="shared" si="29"/>
        <v>7061.3739690165785</v>
      </c>
      <c r="AM18" s="7">
        <f t="shared" si="29"/>
        <v>7734.5495418649734</v>
      </c>
      <c r="AN18" s="7">
        <f t="shared" si="29"/>
        <v>8427.6473154003979</v>
      </c>
      <c r="AO18" s="7">
        <f t="shared" si="29"/>
        <v>9142.7281479893427</v>
      </c>
      <c r="AP18" s="7">
        <f t="shared" si="29"/>
        <v>9881.4895787694841</v>
      </c>
    </row>
    <row r="19" spans="2:152" x14ac:dyDescent="0.3">
      <c r="B19" t="s">
        <v>33</v>
      </c>
      <c r="C19" s="2">
        <v>-1692</v>
      </c>
      <c r="D19" s="2">
        <v>-368</v>
      </c>
      <c r="E19" s="2">
        <v>-295</v>
      </c>
      <c r="F19" s="2">
        <v>-1707</v>
      </c>
      <c r="G19" s="2">
        <v>-359</v>
      </c>
      <c r="H19" s="2">
        <v>-4323</v>
      </c>
      <c r="I19" s="2">
        <v>90</v>
      </c>
      <c r="J19" s="2">
        <v>151</v>
      </c>
      <c r="K19" s="2">
        <v>-186</v>
      </c>
      <c r="L19" s="2">
        <v>-169</v>
      </c>
      <c r="M19" s="2">
        <v>24</v>
      </c>
      <c r="N19" s="2">
        <v>191</v>
      </c>
      <c r="O19" s="2">
        <v>-86</v>
      </c>
      <c r="P19" s="2">
        <v>-205</v>
      </c>
      <c r="Q19" s="2">
        <v>120</v>
      </c>
      <c r="R19" s="2">
        <v>159</v>
      </c>
      <c r="S19" s="2">
        <v>-316</v>
      </c>
      <c r="T19" s="2">
        <v>112</v>
      </c>
      <c r="U19" s="2">
        <v>0</v>
      </c>
      <c r="V19" s="2">
        <v>0</v>
      </c>
      <c r="W19" s="2">
        <v>0</v>
      </c>
      <c r="Y19" s="2">
        <v>125</v>
      </c>
      <c r="Z19" s="2">
        <v>-1539</v>
      </c>
      <c r="AA19" s="2">
        <v>-1904</v>
      </c>
      <c r="AB19" s="2">
        <f>SUM(D19:G19)</f>
        <v>-2729</v>
      </c>
      <c r="AC19" s="2">
        <f>SUM(H19:K19)</f>
        <v>-4268</v>
      </c>
      <c r="AD19" s="2">
        <f>SUM(L19:O19)</f>
        <v>-40</v>
      </c>
      <c r="AE19" s="2">
        <f>SUM(P19:S19)</f>
        <v>-242</v>
      </c>
      <c r="AF19" s="2">
        <f>SUM(T19:W19)</f>
        <v>112</v>
      </c>
      <c r="AG19" s="2">
        <f t="shared" ref="AG19:AP19" si="30">AF19*0.95</f>
        <v>106.39999999999999</v>
      </c>
      <c r="AH19" s="2">
        <f t="shared" si="30"/>
        <v>101.07999999999998</v>
      </c>
      <c r="AI19" s="2">
        <f t="shared" si="30"/>
        <v>96.025999999999982</v>
      </c>
      <c r="AJ19" s="2">
        <f t="shared" si="30"/>
        <v>91.224699999999984</v>
      </c>
      <c r="AK19" s="2">
        <f t="shared" si="30"/>
        <v>86.663464999999988</v>
      </c>
      <c r="AL19" s="2">
        <f t="shared" si="30"/>
        <v>82.330291749999986</v>
      </c>
      <c r="AM19" s="2">
        <f t="shared" si="30"/>
        <v>78.21377716249998</v>
      </c>
      <c r="AN19" s="2">
        <f t="shared" si="30"/>
        <v>74.303088304374981</v>
      </c>
      <c r="AO19" s="2">
        <f t="shared" si="30"/>
        <v>70.587933889156233</v>
      </c>
      <c r="AP19" s="2">
        <f t="shared" si="30"/>
        <v>67.058537194698417</v>
      </c>
    </row>
    <row r="20" spans="2:152" x14ac:dyDescent="0.3">
      <c r="B20" t="s">
        <v>27</v>
      </c>
      <c r="C20" s="2">
        <v>88</v>
      </c>
      <c r="D20" s="2">
        <v>156</v>
      </c>
      <c r="E20" s="2">
        <v>96</v>
      </c>
      <c r="F20" s="2">
        <v>76</v>
      </c>
      <c r="G20" s="2">
        <v>154</v>
      </c>
      <c r="H20" s="2">
        <v>-997</v>
      </c>
      <c r="I20" s="2">
        <v>119</v>
      </c>
      <c r="J20" s="2">
        <v>-138</v>
      </c>
      <c r="K20" s="2">
        <v>-150</v>
      </c>
      <c r="L20" s="2">
        <v>-141</v>
      </c>
      <c r="M20" s="2">
        <v>-224</v>
      </c>
      <c r="N20" s="2">
        <v>-147</v>
      </c>
      <c r="O20" s="2">
        <v>-117</v>
      </c>
      <c r="P20" s="2">
        <v>-145</v>
      </c>
      <c r="Q20" s="2">
        <v>-80</v>
      </c>
      <c r="R20" s="2">
        <v>-130</v>
      </c>
      <c r="S20" s="2">
        <v>129</v>
      </c>
      <c r="T20" s="2">
        <v>173</v>
      </c>
      <c r="U20" s="2">
        <v>0</v>
      </c>
      <c r="V20" s="2">
        <v>0</v>
      </c>
      <c r="W20" s="2">
        <v>0</v>
      </c>
      <c r="Y20" s="2">
        <v>-126</v>
      </c>
      <c r="Z20" s="2">
        <v>-484</v>
      </c>
      <c r="AA20" s="2">
        <v>504</v>
      </c>
      <c r="AB20" s="2">
        <f>SUM(D20:G20)</f>
        <v>482</v>
      </c>
      <c r="AC20" s="2">
        <f>SUM(H20:K20)</f>
        <v>-1166</v>
      </c>
      <c r="AD20" s="2">
        <f>SUM(L20:O20)</f>
        <v>-629</v>
      </c>
      <c r="AE20" s="2">
        <f>SUM(P20:S20)</f>
        <v>-226</v>
      </c>
      <c r="AF20" s="2">
        <f>SUM(T20:W20)</f>
        <v>173</v>
      </c>
      <c r="AG20" s="2">
        <f t="shared" ref="AG20:AP20" si="31">AF20*1.01</f>
        <v>174.73</v>
      </c>
      <c r="AH20" s="2">
        <f t="shared" si="31"/>
        <v>176.47729999999999</v>
      </c>
      <c r="AI20" s="2">
        <f t="shared" si="31"/>
        <v>178.24207299999998</v>
      </c>
      <c r="AJ20" s="2">
        <f t="shared" si="31"/>
        <v>180.02449372999999</v>
      </c>
      <c r="AK20" s="2">
        <f t="shared" si="31"/>
        <v>181.82473866729998</v>
      </c>
      <c r="AL20" s="2">
        <f t="shared" si="31"/>
        <v>183.64298605397298</v>
      </c>
      <c r="AM20" s="2">
        <f t="shared" si="31"/>
        <v>185.47941591451271</v>
      </c>
      <c r="AN20" s="2">
        <f t="shared" si="31"/>
        <v>187.33421007365783</v>
      </c>
      <c r="AO20" s="2">
        <f t="shared" si="31"/>
        <v>189.20755217439441</v>
      </c>
      <c r="AP20" s="2">
        <f t="shared" si="31"/>
        <v>191.09962769613836</v>
      </c>
    </row>
    <row r="21" spans="2:152" s="1" customFormat="1" x14ac:dyDescent="0.3">
      <c r="B21" s="1" t="s">
        <v>28</v>
      </c>
      <c r="C21" s="7">
        <f t="shared" ref="C21:W21" si="32">C18-C19-C20</f>
        <v>7488</v>
      </c>
      <c r="D21" s="7">
        <f t="shared" si="32"/>
        <v>3906</v>
      </c>
      <c r="E21" s="7">
        <f t="shared" si="32"/>
        <v>5745</v>
      </c>
      <c r="F21" s="7">
        <f t="shared" si="32"/>
        <v>6858</v>
      </c>
      <c r="G21" s="7">
        <f t="shared" si="32"/>
        <v>5194</v>
      </c>
      <c r="H21" s="7">
        <f t="shared" si="32"/>
        <v>9661</v>
      </c>
      <c r="I21" s="7">
        <f t="shared" si="32"/>
        <v>-909</v>
      </c>
      <c r="J21" s="7">
        <f t="shared" si="32"/>
        <v>-188</v>
      </c>
      <c r="K21" s="7">
        <f t="shared" si="32"/>
        <v>-796</v>
      </c>
      <c r="L21" s="7">
        <f t="shared" si="32"/>
        <v>-1158</v>
      </c>
      <c r="M21" s="7">
        <f t="shared" si="32"/>
        <v>-816</v>
      </c>
      <c r="N21" s="7">
        <f t="shared" si="32"/>
        <v>-52</v>
      </c>
      <c r="O21" s="7">
        <f t="shared" si="32"/>
        <v>3058</v>
      </c>
      <c r="P21" s="7">
        <f t="shared" si="32"/>
        <v>-719</v>
      </c>
      <c r="Q21" s="7">
        <f t="shared" si="32"/>
        <v>-2004</v>
      </c>
      <c r="R21" s="7">
        <f t="shared" si="32"/>
        <v>-9086</v>
      </c>
      <c r="S21" s="7">
        <f t="shared" si="32"/>
        <v>599</v>
      </c>
      <c r="T21" s="7">
        <f t="shared" si="32"/>
        <v>-586</v>
      </c>
      <c r="U21" s="7">
        <f t="shared" si="32"/>
        <v>-980.8677000000007</v>
      </c>
      <c r="V21" s="7">
        <f t="shared" si="32"/>
        <v>-525.09320000000025</v>
      </c>
      <c r="W21" s="7">
        <f t="shared" si="32"/>
        <v>-139.73400000000038</v>
      </c>
      <c r="Y21" s="7">
        <f t="shared" ref="Y21:AE21" si="33">Y18-Y19-Y20</f>
        <v>23317</v>
      </c>
      <c r="Z21" s="7">
        <f t="shared" si="33"/>
        <v>24058</v>
      </c>
      <c r="AA21" s="7">
        <f t="shared" si="33"/>
        <v>25078</v>
      </c>
      <c r="AB21" s="7">
        <f t="shared" si="33"/>
        <v>21703</v>
      </c>
      <c r="AC21" s="7">
        <f t="shared" si="33"/>
        <v>7768</v>
      </c>
      <c r="AD21" s="7">
        <f t="shared" si="33"/>
        <v>1032</v>
      </c>
      <c r="AE21" s="7">
        <f t="shared" si="33"/>
        <v>-11210</v>
      </c>
      <c r="AF21" s="7">
        <f t="shared" ref="AF21:AP21" si="34">AF18-AF19-AF20</f>
        <v>-2231.6949000000059</v>
      </c>
      <c r="AG21" s="7">
        <f t="shared" si="34"/>
        <v>1010.9901999999975</v>
      </c>
      <c r="AH21" s="7">
        <f t="shared" si="34"/>
        <v>3629.7148363999954</v>
      </c>
      <c r="AI21" s="7">
        <f t="shared" si="34"/>
        <v>4698.9216189799945</v>
      </c>
      <c r="AJ21" s="7">
        <f t="shared" si="34"/>
        <v>5543.4062906707986</v>
      </c>
      <c r="AK21" s="7">
        <f t="shared" si="34"/>
        <v>6137.0417099757296</v>
      </c>
      <c r="AL21" s="7">
        <f t="shared" si="34"/>
        <v>6795.400691212606</v>
      </c>
      <c r="AM21" s="7">
        <f t="shared" si="34"/>
        <v>7470.8563487879601</v>
      </c>
      <c r="AN21" s="7">
        <f t="shared" si="34"/>
        <v>8166.0100170223641</v>
      </c>
      <c r="AO21" s="7">
        <f t="shared" si="34"/>
        <v>8882.9326619257936</v>
      </c>
      <c r="AP21" s="7">
        <f t="shared" si="34"/>
        <v>9623.3314138786482</v>
      </c>
    </row>
    <row r="22" spans="2:152" x14ac:dyDescent="0.3">
      <c r="B22" t="s">
        <v>29</v>
      </c>
      <c r="C22" s="2">
        <v>1631</v>
      </c>
      <c r="D22" s="2">
        <v>545</v>
      </c>
      <c r="E22" s="2">
        <v>684</v>
      </c>
      <c r="F22" s="2">
        <v>35</v>
      </c>
      <c r="G22" s="2">
        <v>571</v>
      </c>
      <c r="H22" s="2">
        <v>1548</v>
      </c>
      <c r="I22" s="2">
        <v>-455</v>
      </c>
      <c r="J22" s="2">
        <v>-1207</v>
      </c>
      <c r="K22" s="2">
        <v>-135</v>
      </c>
      <c r="L22" s="2">
        <v>1610</v>
      </c>
      <c r="M22" s="2">
        <v>-2289</v>
      </c>
      <c r="N22" s="2">
        <v>-362</v>
      </c>
      <c r="O22" s="2">
        <v>128</v>
      </c>
      <c r="P22" s="2">
        <v>-282</v>
      </c>
      <c r="Q22" s="2">
        <v>-350</v>
      </c>
      <c r="R22" s="2">
        <v>7903</v>
      </c>
      <c r="S22" s="2">
        <v>752</v>
      </c>
      <c r="T22" s="2">
        <v>301</v>
      </c>
      <c r="U22" s="2">
        <f>U21*0.2</f>
        <v>-196.17354000000014</v>
      </c>
      <c r="V22" s="2">
        <f t="shared" ref="V22:W22" si="35">V21*0.2</f>
        <v>-105.01864000000006</v>
      </c>
      <c r="W22" s="2">
        <f t="shared" si="35"/>
        <v>-27.946800000000078</v>
      </c>
      <c r="Y22" s="2">
        <v>2264</v>
      </c>
      <c r="Z22" s="2">
        <v>3010</v>
      </c>
      <c r="AA22" s="2">
        <v>4179</v>
      </c>
      <c r="AB22" s="2">
        <f>SUM(D22:G22)</f>
        <v>1835</v>
      </c>
      <c r="AC22" s="2">
        <f>SUM(H22:K22)</f>
        <v>-249</v>
      </c>
      <c r="AD22" s="2">
        <f>SUM(L22:O22)</f>
        <v>-913</v>
      </c>
      <c r="AE22" s="2">
        <f>SUM(P22:S22)</f>
        <v>8023</v>
      </c>
      <c r="AF22" s="2">
        <f>SUM(T22:W22)</f>
        <v>-28.138980000000284</v>
      </c>
      <c r="AG22" s="2">
        <f t="shared" ref="AG22:AP22" si="36">AG21*0.25</f>
        <v>252.74754999999936</v>
      </c>
      <c r="AH22" s="2">
        <f t="shared" si="36"/>
        <v>907.42870909999885</v>
      </c>
      <c r="AI22" s="2">
        <f t="shared" si="36"/>
        <v>1174.7304047449986</v>
      </c>
      <c r="AJ22" s="2">
        <f t="shared" si="36"/>
        <v>1385.8515726676997</v>
      </c>
      <c r="AK22" s="2">
        <f t="shared" si="36"/>
        <v>1534.2604274939324</v>
      </c>
      <c r="AL22" s="2">
        <f t="shared" si="36"/>
        <v>1698.8501728031515</v>
      </c>
      <c r="AM22" s="2">
        <f t="shared" si="36"/>
        <v>1867.71408719699</v>
      </c>
      <c r="AN22" s="2">
        <f t="shared" si="36"/>
        <v>2041.502504255591</v>
      </c>
      <c r="AO22" s="2">
        <f t="shared" si="36"/>
        <v>2220.7331654814484</v>
      </c>
      <c r="AP22" s="2">
        <f t="shared" si="36"/>
        <v>2405.832853469662</v>
      </c>
    </row>
    <row r="23" spans="2:152" x14ac:dyDescent="0.3">
      <c r="B23" t="s">
        <v>30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3</v>
      </c>
      <c r="L23" s="2">
        <v>-10</v>
      </c>
      <c r="M23" s="2">
        <v>-8</v>
      </c>
      <c r="N23" s="2">
        <v>13</v>
      </c>
      <c r="O23" s="2">
        <v>-9</v>
      </c>
      <c r="P23" s="2">
        <v>-56</v>
      </c>
      <c r="Q23" s="2">
        <v>-44</v>
      </c>
      <c r="R23" s="2">
        <v>-350</v>
      </c>
      <c r="S23" s="2">
        <v>-27</v>
      </c>
      <c r="T23" s="2">
        <v>-66</v>
      </c>
      <c r="U23" s="2">
        <f>U21*0.05</f>
        <v>-49.043385000000036</v>
      </c>
      <c r="V23" s="2">
        <f t="shared" ref="V23:W23" si="37">V21*0.05</f>
        <v>-26.254660000000015</v>
      </c>
      <c r="W23" s="2">
        <f t="shared" si="37"/>
        <v>-6.9867000000000195</v>
      </c>
      <c r="Y23" s="2">
        <v>0</v>
      </c>
      <c r="Z23" s="2">
        <v>0</v>
      </c>
      <c r="AA23" s="2">
        <v>0</v>
      </c>
      <c r="AB23" s="2">
        <f>SUM(D23:G23)</f>
        <v>0</v>
      </c>
      <c r="AC23" s="2">
        <f>SUM(H23:K23)</f>
        <v>3</v>
      </c>
      <c r="AD23" s="2">
        <f>SUM(L23:O23)</f>
        <v>-14</v>
      </c>
      <c r="AE23" s="2">
        <f>SUM(P23:S23)</f>
        <v>-477</v>
      </c>
      <c r="AF23" s="2">
        <f>SUM(T23:W23)</f>
        <v>-148.28474500000007</v>
      </c>
      <c r="AG23" s="2">
        <f t="shared" ref="AG23:AP23" si="38">AG21*0.03</f>
        <v>30.329705999999923</v>
      </c>
      <c r="AH23" s="2">
        <f t="shared" si="38"/>
        <v>108.89144509199986</v>
      </c>
      <c r="AI23" s="2">
        <f t="shared" si="38"/>
        <v>140.96764856939984</v>
      </c>
      <c r="AJ23" s="2">
        <f t="shared" si="38"/>
        <v>166.30218872012395</v>
      </c>
      <c r="AK23" s="2">
        <f t="shared" si="38"/>
        <v>184.11125129927188</v>
      </c>
      <c r="AL23" s="2">
        <f t="shared" si="38"/>
        <v>203.86202073637818</v>
      </c>
      <c r="AM23" s="2">
        <f t="shared" si="38"/>
        <v>224.12569046363879</v>
      </c>
      <c r="AN23" s="2">
        <f t="shared" si="38"/>
        <v>244.9803005106709</v>
      </c>
      <c r="AO23" s="2">
        <f t="shared" si="38"/>
        <v>266.48797985777378</v>
      </c>
      <c r="AP23" s="2">
        <f t="shared" si="38"/>
        <v>288.69994241635942</v>
      </c>
    </row>
    <row r="24" spans="2:152" s="1" customFormat="1" x14ac:dyDescent="0.3">
      <c r="B24" s="1" t="s">
        <v>31</v>
      </c>
      <c r="C24" s="7">
        <f t="shared" ref="C24:S24" si="39">C21-C22-C23</f>
        <v>5857</v>
      </c>
      <c r="D24" s="7">
        <f t="shared" si="39"/>
        <v>3361</v>
      </c>
      <c r="E24" s="7">
        <f t="shared" si="39"/>
        <v>5061</v>
      </c>
      <c r="F24" s="7">
        <f t="shared" si="39"/>
        <v>6823</v>
      </c>
      <c r="G24" s="7">
        <f t="shared" si="39"/>
        <v>4623</v>
      </c>
      <c r="H24" s="7">
        <f t="shared" si="39"/>
        <v>8113</v>
      </c>
      <c r="I24" s="7">
        <f t="shared" si="39"/>
        <v>-454</v>
      </c>
      <c r="J24" s="7">
        <f t="shared" si="39"/>
        <v>1019</v>
      </c>
      <c r="K24" s="7">
        <f t="shared" si="39"/>
        <v>-664</v>
      </c>
      <c r="L24" s="7">
        <f t="shared" si="39"/>
        <v>-2758</v>
      </c>
      <c r="M24" s="7">
        <f t="shared" si="39"/>
        <v>1481</v>
      </c>
      <c r="N24" s="7">
        <f t="shared" si="39"/>
        <v>297</v>
      </c>
      <c r="O24" s="7">
        <f t="shared" si="39"/>
        <v>2939</v>
      </c>
      <c r="P24" s="7">
        <f t="shared" si="39"/>
        <v>-381</v>
      </c>
      <c r="Q24" s="7">
        <f t="shared" si="39"/>
        <v>-1610</v>
      </c>
      <c r="R24" s="7">
        <f t="shared" si="39"/>
        <v>-16639</v>
      </c>
      <c r="S24" s="7">
        <f t="shared" si="39"/>
        <v>-126</v>
      </c>
      <c r="T24" s="7">
        <f t="shared" ref="T24:W24" si="40">T21-T22-T23</f>
        <v>-821</v>
      </c>
      <c r="U24" s="7">
        <f t="shared" si="40"/>
        <v>-735.65077500000052</v>
      </c>
      <c r="V24" s="7">
        <f t="shared" si="40"/>
        <v>-393.81990000000019</v>
      </c>
      <c r="W24" s="7">
        <f t="shared" si="40"/>
        <v>-104.80050000000028</v>
      </c>
      <c r="Y24" s="7">
        <f t="shared" ref="Y24:AE24" si="41">Y21-Y22-Y23</f>
        <v>21053</v>
      </c>
      <c r="Z24" s="7">
        <f t="shared" si="41"/>
        <v>21048</v>
      </c>
      <c r="AA24" s="7">
        <f t="shared" si="41"/>
        <v>20899</v>
      </c>
      <c r="AB24" s="7">
        <f t="shared" si="41"/>
        <v>19868</v>
      </c>
      <c r="AC24" s="7">
        <f t="shared" si="41"/>
        <v>8014</v>
      </c>
      <c r="AD24" s="7">
        <f t="shared" si="41"/>
        <v>1959</v>
      </c>
      <c r="AE24" s="7">
        <f t="shared" si="41"/>
        <v>-18756</v>
      </c>
      <c r="AF24" s="7">
        <f t="shared" ref="AF24:AP24" si="42">AF21-AF22-AF23</f>
        <v>-2055.2711750000058</v>
      </c>
      <c r="AG24" s="7">
        <f t="shared" si="42"/>
        <v>727.91294399999822</v>
      </c>
      <c r="AH24" s="7">
        <f t="shared" si="42"/>
        <v>2613.394682207997</v>
      </c>
      <c r="AI24" s="7">
        <f t="shared" si="42"/>
        <v>3383.2235656655957</v>
      </c>
      <c r="AJ24" s="7">
        <f t="shared" si="42"/>
        <v>3991.252529282975</v>
      </c>
      <c r="AK24" s="7">
        <f t="shared" si="42"/>
        <v>4418.6700311825252</v>
      </c>
      <c r="AL24" s="7">
        <f t="shared" si="42"/>
        <v>4892.6884976730762</v>
      </c>
      <c r="AM24" s="7">
        <f t="shared" si="42"/>
        <v>5379.0165711273321</v>
      </c>
      <c r="AN24" s="7">
        <f t="shared" si="42"/>
        <v>5879.5272122561028</v>
      </c>
      <c r="AO24" s="7">
        <f t="shared" si="42"/>
        <v>6395.7115165865716</v>
      </c>
      <c r="AP24" s="7">
        <f t="shared" si="42"/>
        <v>6928.7986179926265</v>
      </c>
      <c r="AQ24" s="1">
        <f>AP24*(1+$AS$37)</f>
        <v>6859.5106318127</v>
      </c>
      <c r="AR24" s="1">
        <f t="shared" ref="AR24:DC24" si="43">AQ24*(1+$AS$37)</f>
        <v>6790.9155254945726</v>
      </c>
      <c r="AS24" s="1">
        <f t="shared" si="43"/>
        <v>6723.0063702396264</v>
      </c>
      <c r="AT24" s="1">
        <f t="shared" si="43"/>
        <v>6655.7763065372301</v>
      </c>
      <c r="AU24" s="1">
        <f t="shared" si="43"/>
        <v>6589.2185434718576</v>
      </c>
      <c r="AV24" s="1">
        <f t="shared" si="43"/>
        <v>6523.3263580371386</v>
      </c>
      <c r="AW24" s="1">
        <f t="shared" si="43"/>
        <v>6458.0930944567672</v>
      </c>
      <c r="AX24" s="1">
        <f t="shared" si="43"/>
        <v>6393.5121635121995</v>
      </c>
      <c r="AY24" s="1">
        <f t="shared" si="43"/>
        <v>6329.5770418770771</v>
      </c>
      <c r="AZ24" s="1">
        <f t="shared" si="43"/>
        <v>6266.281271458306</v>
      </c>
      <c r="BA24" s="1">
        <f t="shared" si="43"/>
        <v>6203.6184587437228</v>
      </c>
      <c r="BB24" s="1">
        <f t="shared" si="43"/>
        <v>6141.5822741562852</v>
      </c>
      <c r="BC24" s="1">
        <f t="shared" si="43"/>
        <v>6080.1664514147224</v>
      </c>
      <c r="BD24" s="1">
        <f t="shared" si="43"/>
        <v>6019.3647869005754</v>
      </c>
      <c r="BE24" s="1">
        <f t="shared" si="43"/>
        <v>5959.1711390315695</v>
      </c>
      <c r="BF24" s="1">
        <f t="shared" si="43"/>
        <v>5899.5794276412535</v>
      </c>
      <c r="BG24" s="1">
        <f t="shared" si="43"/>
        <v>5840.5836333648413</v>
      </c>
      <c r="BH24" s="1">
        <f t="shared" si="43"/>
        <v>5782.1777970311932</v>
      </c>
      <c r="BI24" s="1">
        <f t="shared" si="43"/>
        <v>5724.3560190608814</v>
      </c>
      <c r="BJ24" s="1">
        <f t="shared" si="43"/>
        <v>5667.1124588702723</v>
      </c>
      <c r="BK24" s="1">
        <f t="shared" si="43"/>
        <v>5610.4413342815697</v>
      </c>
      <c r="BL24" s="1">
        <f t="shared" si="43"/>
        <v>5554.3369209387538</v>
      </c>
      <c r="BM24" s="1">
        <f t="shared" si="43"/>
        <v>5498.7935517293663</v>
      </c>
      <c r="BN24" s="1">
        <f t="shared" si="43"/>
        <v>5443.8056162120729</v>
      </c>
      <c r="BO24" s="1">
        <f t="shared" si="43"/>
        <v>5389.3675600499519</v>
      </c>
      <c r="BP24" s="1">
        <f t="shared" si="43"/>
        <v>5335.4738844494523</v>
      </c>
      <c r="BQ24" s="1">
        <f t="shared" si="43"/>
        <v>5282.1191456049573</v>
      </c>
      <c r="BR24" s="1">
        <f t="shared" si="43"/>
        <v>5229.2979541489076</v>
      </c>
      <c r="BS24" s="1">
        <f t="shared" si="43"/>
        <v>5177.0049746074183</v>
      </c>
      <c r="BT24" s="1">
        <f t="shared" si="43"/>
        <v>5125.2349248613436</v>
      </c>
      <c r="BU24" s="1">
        <f t="shared" si="43"/>
        <v>5073.9825756127302</v>
      </c>
      <c r="BV24" s="1">
        <f t="shared" si="43"/>
        <v>5023.242749856603</v>
      </c>
      <c r="BW24" s="1">
        <f t="shared" si="43"/>
        <v>4973.0103223580372</v>
      </c>
      <c r="BX24" s="1">
        <f t="shared" si="43"/>
        <v>4923.2802191344572</v>
      </c>
      <c r="BY24" s="1">
        <f t="shared" si="43"/>
        <v>4874.0474169431127</v>
      </c>
      <c r="BZ24" s="1">
        <f t="shared" si="43"/>
        <v>4825.3069427736818</v>
      </c>
      <c r="CA24" s="1">
        <f t="shared" si="43"/>
        <v>4777.0538733459452</v>
      </c>
      <c r="CB24" s="1">
        <f t="shared" si="43"/>
        <v>4729.2833346124853</v>
      </c>
      <c r="CC24" s="1">
        <f t="shared" si="43"/>
        <v>4681.9905012663603</v>
      </c>
      <c r="CD24" s="1">
        <f t="shared" si="43"/>
        <v>4635.1705962536962</v>
      </c>
      <c r="CE24" s="1">
        <f t="shared" si="43"/>
        <v>4588.8188902911588</v>
      </c>
      <c r="CF24" s="1">
        <f t="shared" si="43"/>
        <v>4542.9307013882471</v>
      </c>
      <c r="CG24" s="1">
        <f t="shared" si="43"/>
        <v>4497.5013943743643</v>
      </c>
      <c r="CH24" s="1">
        <f t="shared" si="43"/>
        <v>4452.5263804306205</v>
      </c>
      <c r="CI24" s="1">
        <f t="shared" si="43"/>
        <v>4408.0011166263139</v>
      </c>
      <c r="CJ24" s="1">
        <f t="shared" si="43"/>
        <v>4363.921105460051</v>
      </c>
      <c r="CK24" s="1">
        <f t="shared" si="43"/>
        <v>4320.2818944054507</v>
      </c>
      <c r="CL24" s="1">
        <f t="shared" si="43"/>
        <v>4277.0790754613963</v>
      </c>
      <c r="CM24" s="1">
        <f t="shared" si="43"/>
        <v>4234.3082847067826</v>
      </c>
      <c r="CN24" s="1">
        <f t="shared" si="43"/>
        <v>4191.9652018597144</v>
      </c>
      <c r="CO24" s="1">
        <f t="shared" si="43"/>
        <v>4150.0455498411175</v>
      </c>
      <c r="CP24" s="1">
        <f t="shared" si="43"/>
        <v>4108.5450943427059</v>
      </c>
      <c r="CQ24" s="1">
        <f t="shared" si="43"/>
        <v>4067.4596433992788</v>
      </c>
      <c r="CR24" s="1">
        <f t="shared" si="43"/>
        <v>4026.7850469652858</v>
      </c>
      <c r="CS24" s="1">
        <f t="shared" si="43"/>
        <v>3986.517196495633</v>
      </c>
      <c r="CT24" s="1">
        <f t="shared" si="43"/>
        <v>3946.6520245306765</v>
      </c>
      <c r="CU24" s="1">
        <f t="shared" si="43"/>
        <v>3907.1855042853699</v>
      </c>
      <c r="CV24" s="1">
        <f t="shared" si="43"/>
        <v>3868.1136492425162</v>
      </c>
      <c r="CW24" s="1">
        <f t="shared" si="43"/>
        <v>3829.4325127500911</v>
      </c>
      <c r="CX24" s="1">
        <f t="shared" si="43"/>
        <v>3791.1381876225901</v>
      </c>
      <c r="CY24" s="1">
        <f t="shared" si="43"/>
        <v>3753.2268057463643</v>
      </c>
      <c r="CZ24" s="1">
        <f t="shared" si="43"/>
        <v>3715.6945376889007</v>
      </c>
      <c r="DA24" s="1">
        <f t="shared" si="43"/>
        <v>3678.5375923120118</v>
      </c>
      <c r="DB24" s="1">
        <f t="shared" si="43"/>
        <v>3641.7522163888916</v>
      </c>
      <c r="DC24" s="1">
        <f t="shared" si="43"/>
        <v>3605.3346942250027</v>
      </c>
      <c r="DD24" s="1">
        <f t="shared" ref="DD24:EV24" si="44">DC24*(1+$AS$37)</f>
        <v>3569.2813472827529</v>
      </c>
      <c r="DE24" s="1">
        <f t="shared" si="44"/>
        <v>3533.5885338099251</v>
      </c>
      <c r="DF24" s="1">
        <f t="shared" si="44"/>
        <v>3498.252648471826</v>
      </c>
      <c r="DG24" s="1">
        <f t="shared" si="44"/>
        <v>3463.2701219871078</v>
      </c>
      <c r="DH24" s="1">
        <f t="shared" si="44"/>
        <v>3428.6374207672366</v>
      </c>
      <c r="DI24" s="1">
        <f t="shared" si="44"/>
        <v>3394.3510465595641</v>
      </c>
      <c r="DJ24" s="1">
        <f t="shared" si="44"/>
        <v>3360.4075360939682</v>
      </c>
      <c r="DK24" s="1">
        <f t="shared" si="44"/>
        <v>3326.8034607330287</v>
      </c>
      <c r="DL24" s="1">
        <f t="shared" si="44"/>
        <v>3293.5354261256985</v>
      </c>
      <c r="DM24" s="1">
        <f t="shared" si="44"/>
        <v>3260.6000718644414</v>
      </c>
      <c r="DN24" s="1">
        <f t="shared" si="44"/>
        <v>3227.9940711457971</v>
      </c>
      <c r="DO24" s="1">
        <f t="shared" si="44"/>
        <v>3195.714130434339</v>
      </c>
      <c r="DP24" s="1">
        <f t="shared" si="44"/>
        <v>3163.7569891299954</v>
      </c>
      <c r="DQ24" s="1">
        <f t="shared" si="44"/>
        <v>3132.1194192386956</v>
      </c>
      <c r="DR24" s="1">
        <f t="shared" si="44"/>
        <v>3100.7982250463087</v>
      </c>
      <c r="DS24" s="1">
        <f t="shared" si="44"/>
        <v>3069.7902427958456</v>
      </c>
      <c r="DT24" s="1">
        <f t="shared" si="44"/>
        <v>3039.0923403678871</v>
      </c>
      <c r="DU24" s="1">
        <f t="shared" si="44"/>
        <v>3008.7014169642084</v>
      </c>
      <c r="DV24" s="1">
        <f t="shared" si="44"/>
        <v>2978.6144027945661</v>
      </c>
      <c r="DW24" s="1">
        <f t="shared" si="44"/>
        <v>2948.8282587666204</v>
      </c>
      <c r="DX24" s="1">
        <f t="shared" si="44"/>
        <v>2919.3399761789542</v>
      </c>
      <c r="DY24" s="1">
        <f t="shared" si="44"/>
        <v>2890.1465764171649</v>
      </c>
      <c r="DZ24" s="1">
        <f t="shared" si="44"/>
        <v>2861.2451106529934</v>
      </c>
      <c r="EA24" s="1">
        <f t="shared" si="44"/>
        <v>2832.6326595464634</v>
      </c>
      <c r="EB24" s="1">
        <f t="shared" si="44"/>
        <v>2804.3063329509987</v>
      </c>
      <c r="EC24" s="1">
        <f t="shared" si="44"/>
        <v>2776.2632696214887</v>
      </c>
      <c r="ED24" s="1">
        <f t="shared" si="44"/>
        <v>2748.5006369252737</v>
      </c>
      <c r="EE24" s="1">
        <f t="shared" si="44"/>
        <v>2721.0156305560208</v>
      </c>
      <c r="EF24" s="1">
        <f t="shared" si="44"/>
        <v>2693.8054742504605</v>
      </c>
      <c r="EG24" s="1">
        <f t="shared" si="44"/>
        <v>2666.8674195079557</v>
      </c>
      <c r="EH24" s="1">
        <f t="shared" si="44"/>
        <v>2640.1987453128759</v>
      </c>
      <c r="EI24" s="1">
        <f t="shared" si="44"/>
        <v>2613.7967578597472</v>
      </c>
      <c r="EJ24" s="1">
        <f t="shared" si="44"/>
        <v>2587.6587902811498</v>
      </c>
      <c r="EK24" s="1">
        <f t="shared" si="44"/>
        <v>2561.7822023783383</v>
      </c>
      <c r="EL24" s="1">
        <f t="shared" si="44"/>
        <v>2536.1643803545549</v>
      </c>
      <c r="EM24" s="1">
        <f t="shared" si="44"/>
        <v>2510.8027365510093</v>
      </c>
      <c r="EN24" s="1">
        <f t="shared" si="44"/>
        <v>2485.6947091854991</v>
      </c>
      <c r="EO24" s="1">
        <f t="shared" si="44"/>
        <v>2460.837762093644</v>
      </c>
      <c r="EP24" s="1">
        <f t="shared" si="44"/>
        <v>2436.2293844727074</v>
      </c>
      <c r="EQ24" s="1">
        <f t="shared" si="44"/>
        <v>2411.8670906279804</v>
      </c>
      <c r="ER24" s="1">
        <f t="shared" si="44"/>
        <v>2387.7484197217004</v>
      </c>
      <c r="ES24" s="1">
        <f t="shared" si="44"/>
        <v>2363.8709355244832</v>
      </c>
      <c r="ET24" s="1">
        <f t="shared" si="44"/>
        <v>2340.2322261692384</v>
      </c>
      <c r="EU24" s="1">
        <f t="shared" si="44"/>
        <v>2316.8299039075459</v>
      </c>
      <c r="EV24" s="1">
        <f t="shared" si="44"/>
        <v>2293.6616048684705</v>
      </c>
    </row>
    <row r="25" spans="2:152" x14ac:dyDescent="0.3">
      <c r="B25" t="s">
        <v>2</v>
      </c>
      <c r="C25" s="2">
        <v>4313</v>
      </c>
      <c r="D25" s="2">
        <v>4313</v>
      </c>
      <c r="E25" s="2">
        <v>4313</v>
      </c>
      <c r="F25" s="2">
        <v>4313</v>
      </c>
      <c r="G25" s="2">
        <v>4313</v>
      </c>
      <c r="H25" s="2">
        <v>4313</v>
      </c>
      <c r="I25" s="2">
        <v>4313</v>
      </c>
      <c r="J25" s="2">
        <v>4313</v>
      </c>
      <c r="K25" s="2">
        <v>4313</v>
      </c>
      <c r="L25" s="2">
        <v>4313</v>
      </c>
      <c r="M25" s="2">
        <v>4313</v>
      </c>
      <c r="N25" s="2">
        <v>4313</v>
      </c>
      <c r="O25" s="2">
        <v>4313</v>
      </c>
      <c r="P25" s="2">
        <v>4313</v>
      </c>
      <c r="Q25" s="2">
        <v>4313</v>
      </c>
      <c r="R25" s="2">
        <v>4313</v>
      </c>
      <c r="S25" s="2">
        <v>4319</v>
      </c>
      <c r="T25" s="2">
        <v>4343</v>
      </c>
      <c r="U25" s="2">
        <v>4343</v>
      </c>
      <c r="V25" s="2">
        <v>4343</v>
      </c>
      <c r="W25" s="2">
        <v>4343</v>
      </c>
      <c r="Y25" s="2">
        <v>4313</v>
      </c>
      <c r="Z25" s="2">
        <v>4313</v>
      </c>
      <c r="AA25" s="2">
        <v>4313</v>
      </c>
      <c r="AB25" s="2">
        <v>4313</v>
      </c>
      <c r="AC25" s="2">
        <v>4313</v>
      </c>
      <c r="AD25" s="2">
        <v>4313</v>
      </c>
      <c r="AE25" s="2">
        <v>4319</v>
      </c>
      <c r="AF25" s="2">
        <v>4343</v>
      </c>
      <c r="AG25" s="2">
        <v>4343</v>
      </c>
      <c r="AH25" s="2">
        <v>4343</v>
      </c>
      <c r="AI25" s="2">
        <v>4343</v>
      </c>
      <c r="AJ25" s="2">
        <v>4343</v>
      </c>
      <c r="AK25" s="2">
        <v>4343</v>
      </c>
      <c r="AL25" s="2">
        <v>4343</v>
      </c>
      <c r="AM25" s="2">
        <v>4343</v>
      </c>
      <c r="AN25" s="2">
        <v>4343</v>
      </c>
      <c r="AO25" s="2">
        <v>4343</v>
      </c>
      <c r="AP25" s="2">
        <v>4343</v>
      </c>
    </row>
    <row r="26" spans="2:152" x14ac:dyDescent="0.3">
      <c r="B26" t="s">
        <v>32</v>
      </c>
      <c r="C26" s="6">
        <f t="shared" ref="C26:S26" si="45">C24/C25</f>
        <v>1.3579874797124971</v>
      </c>
      <c r="D26" s="6">
        <f t="shared" si="45"/>
        <v>0.77927196846742408</v>
      </c>
      <c r="E26" s="6">
        <f t="shared" si="45"/>
        <v>1.1734291676327382</v>
      </c>
      <c r="F26" s="6">
        <f t="shared" si="45"/>
        <v>1.5819615117087873</v>
      </c>
      <c r="G26" s="6">
        <f t="shared" si="45"/>
        <v>1.071875724553675</v>
      </c>
      <c r="H26" s="6">
        <f t="shared" si="45"/>
        <v>1.8810572687224669</v>
      </c>
      <c r="I26" s="6">
        <f t="shared" si="45"/>
        <v>-0.10526315789473684</v>
      </c>
      <c r="J26" s="6">
        <f t="shared" si="45"/>
        <v>0.23626246232320891</v>
      </c>
      <c r="K26" s="6">
        <f t="shared" si="45"/>
        <v>-0.15395316485045213</v>
      </c>
      <c r="L26" s="6">
        <f t="shared" si="45"/>
        <v>-0.63946209135172738</v>
      </c>
      <c r="M26" s="6">
        <f t="shared" si="45"/>
        <v>0.3433804776257825</v>
      </c>
      <c r="N26" s="6">
        <f t="shared" si="45"/>
        <v>6.8861581265940178E-2</v>
      </c>
      <c r="O26" s="6">
        <f t="shared" si="45"/>
        <v>0.68142824020403436</v>
      </c>
      <c r="P26" s="6">
        <f t="shared" si="45"/>
        <v>-8.8337584048226295E-2</v>
      </c>
      <c r="Q26" s="6">
        <f t="shared" si="45"/>
        <v>-0.37329005332715048</v>
      </c>
      <c r="R26" s="6">
        <f t="shared" si="45"/>
        <v>-3.8578715511245072</v>
      </c>
      <c r="S26" s="6">
        <f t="shared" si="45"/>
        <v>-2.9173419773095625E-2</v>
      </c>
      <c r="T26" s="6">
        <f t="shared" ref="T26:W26" si="46">T24/T25</f>
        <v>-0.18903983421597972</v>
      </c>
      <c r="U26" s="6">
        <f t="shared" si="46"/>
        <v>-0.16938769859544106</v>
      </c>
      <c r="V26" s="6">
        <f t="shared" si="46"/>
        <v>-9.0679230946350498E-2</v>
      </c>
      <c r="W26" s="6">
        <f t="shared" si="46"/>
        <v>-2.4130900299332323E-2</v>
      </c>
      <c r="Y26" s="6">
        <f t="shared" ref="Y26:AE26" si="47">Y24/Y25</f>
        <v>4.881289125898447</v>
      </c>
      <c r="Z26" s="6">
        <f t="shared" si="47"/>
        <v>4.8801298400185482</v>
      </c>
      <c r="AA26" s="6">
        <f t="shared" si="47"/>
        <v>4.8455831207975884</v>
      </c>
      <c r="AB26" s="6">
        <f t="shared" si="47"/>
        <v>4.6065383723626248</v>
      </c>
      <c r="AC26" s="6">
        <f t="shared" si="47"/>
        <v>1.8581034083004868</v>
      </c>
      <c r="AD26" s="6">
        <f t="shared" si="47"/>
        <v>0.4542082077440297</v>
      </c>
      <c r="AE26" s="6">
        <f t="shared" si="47"/>
        <v>-4.3426719147950914</v>
      </c>
      <c r="AF26" s="6">
        <f t="shared" ref="AF26:AP26" si="48">AF24/AF25</f>
        <v>-0.47323766405710471</v>
      </c>
      <c r="AG26" s="6">
        <f t="shared" si="48"/>
        <v>0.16760601980197978</v>
      </c>
      <c r="AH26" s="6">
        <f t="shared" si="48"/>
        <v>0.60174871798480245</v>
      </c>
      <c r="AI26" s="6">
        <f t="shared" si="48"/>
        <v>0.77900611689283805</v>
      </c>
      <c r="AJ26" s="6">
        <f t="shared" si="48"/>
        <v>0.91900818081578983</v>
      </c>
      <c r="AK26" s="6">
        <f t="shared" si="48"/>
        <v>1.017423447198371</v>
      </c>
      <c r="AL26" s="6">
        <f t="shared" si="48"/>
        <v>1.1265688458837384</v>
      </c>
      <c r="AM26" s="6">
        <f t="shared" si="48"/>
        <v>1.2385486003056256</v>
      </c>
      <c r="AN26" s="6">
        <f t="shared" si="48"/>
        <v>1.3537939701257433</v>
      </c>
      <c r="AO26" s="6">
        <f t="shared" si="48"/>
        <v>1.4726482884150522</v>
      </c>
      <c r="AP26" s="6">
        <f t="shared" si="48"/>
        <v>1.5953945701111274</v>
      </c>
    </row>
    <row r="27" spans="2:152" x14ac:dyDescent="0.3">
      <c r="R27" s="2"/>
    </row>
    <row r="28" spans="2:152" x14ac:dyDescent="0.3">
      <c r="B28" t="s">
        <v>96</v>
      </c>
      <c r="P28" s="8">
        <f t="shared" ref="P28:Q34" si="49">P3/L3-1</f>
        <v>0.30973922299095258</v>
      </c>
      <c r="Q28" s="8">
        <f t="shared" si="49"/>
        <v>6.6244725738396681E-2</v>
      </c>
      <c r="R28" s="8">
        <f>R3/N3-1</f>
        <v>-0.24809298946603708</v>
      </c>
      <c r="S28" s="14" t="e">
        <f>S3/O3-1</f>
        <v>#DIV/0!</v>
      </c>
      <c r="T28" s="14"/>
      <c r="U28" s="14"/>
      <c r="V28" s="14"/>
      <c r="W28" s="14"/>
      <c r="AE28" s="14">
        <f>AE3/AD3-1</f>
        <v>7.9977149385890289E-3</v>
      </c>
      <c r="AF28" s="8">
        <v>0.02</v>
      </c>
      <c r="AG28" s="14">
        <v>0.02</v>
      </c>
      <c r="AH28" s="8">
        <v>0.02</v>
      </c>
      <c r="AI28" s="8">
        <v>0.02</v>
      </c>
      <c r="AJ28" s="8">
        <v>0.02</v>
      </c>
      <c r="AK28" s="8">
        <v>0.01</v>
      </c>
      <c r="AL28" s="8">
        <v>0.01</v>
      </c>
      <c r="AM28" s="8">
        <v>0.01</v>
      </c>
      <c r="AN28" s="8">
        <v>0.01</v>
      </c>
      <c r="AO28" s="8">
        <v>0.01</v>
      </c>
      <c r="AP28" s="8">
        <v>0.01</v>
      </c>
    </row>
    <row r="29" spans="2:152" x14ac:dyDescent="0.3">
      <c r="B29" t="s">
        <v>97</v>
      </c>
      <c r="P29" s="8">
        <f t="shared" si="49"/>
        <v>0.37393601408864097</v>
      </c>
      <c r="Q29" s="8">
        <f t="shared" si="49"/>
        <v>0.14989733059548249</v>
      </c>
      <c r="R29" s="8">
        <f t="shared" ref="R29:S34" si="50">R4/N4-1</f>
        <v>8.5498556517876967E-2</v>
      </c>
      <c r="S29" s="14" t="e">
        <f t="shared" si="50"/>
        <v>#DIV/0!</v>
      </c>
      <c r="T29" s="14"/>
      <c r="U29" s="14"/>
      <c r="V29" s="14"/>
      <c r="W29" s="14"/>
      <c r="AE29" s="14">
        <f t="shared" ref="AE29:AE34" si="51">AE4/AD4-1</f>
        <v>0.18998814162290367</v>
      </c>
      <c r="AF29" s="8">
        <v>0.1</v>
      </c>
      <c r="AG29" s="14">
        <v>7.0000000000000007E-2</v>
      </c>
      <c r="AH29" s="8">
        <v>0.04</v>
      </c>
      <c r="AI29" s="8">
        <v>0.03</v>
      </c>
      <c r="AJ29" s="8">
        <v>0.02</v>
      </c>
      <c r="AK29" s="8">
        <v>0.02</v>
      </c>
      <c r="AL29" s="8">
        <v>0.01</v>
      </c>
      <c r="AM29" s="8">
        <v>0.01</v>
      </c>
      <c r="AN29" s="8">
        <v>0.01</v>
      </c>
      <c r="AO29" s="8">
        <v>0.01</v>
      </c>
      <c r="AP29" s="8">
        <v>0.01</v>
      </c>
    </row>
    <row r="30" spans="2:152" x14ac:dyDescent="0.3">
      <c r="B30" t="s">
        <v>98</v>
      </c>
      <c r="P30" s="8">
        <f t="shared" si="49"/>
        <v>-0.18711018711018712</v>
      </c>
      <c r="Q30" s="8">
        <f t="shared" si="49"/>
        <v>-0.21595330739299612</v>
      </c>
      <c r="R30" s="8">
        <f t="shared" si="50"/>
        <v>-0.39116202945990175</v>
      </c>
      <c r="S30" s="14">
        <f t="shared" si="50"/>
        <v>-9.3509724106739078E-2</v>
      </c>
      <c r="T30" s="14"/>
      <c r="U30" s="14"/>
      <c r="V30" s="14"/>
      <c r="W30" s="14"/>
      <c r="AE30" s="14">
        <f t="shared" si="51"/>
        <v>-0.12124401913875593</v>
      </c>
      <c r="AF30" s="8">
        <v>-0.05</v>
      </c>
      <c r="AG30" s="14">
        <v>-0.05</v>
      </c>
      <c r="AH30" s="8">
        <v>-0.05</v>
      </c>
      <c r="AI30" s="8">
        <v>-0.05</v>
      </c>
      <c r="AJ30" s="8">
        <v>-0.05</v>
      </c>
      <c r="AK30" s="8">
        <v>-0.05</v>
      </c>
      <c r="AL30" s="8">
        <v>-0.05</v>
      </c>
      <c r="AM30" s="8">
        <v>-0.05</v>
      </c>
      <c r="AN30" s="8">
        <v>-0.05</v>
      </c>
      <c r="AO30" s="8">
        <v>-0.05</v>
      </c>
      <c r="AP30" s="8">
        <v>-0.05</v>
      </c>
    </row>
    <row r="31" spans="2:152" x14ac:dyDescent="0.3">
      <c r="B31" t="s">
        <v>99</v>
      </c>
      <c r="P31" s="8">
        <f t="shared" si="49"/>
        <v>4.6535677352637084E-2</v>
      </c>
      <c r="Q31" s="8">
        <f t="shared" si="49"/>
        <v>-3.4865293185419977E-2</v>
      </c>
      <c r="R31" s="8">
        <f t="shared" si="50"/>
        <v>8.8751625487646368E-2</v>
      </c>
      <c r="S31" s="8">
        <f t="shared" si="50"/>
        <v>-3.3114473308592629E-2</v>
      </c>
      <c r="T31" s="8">
        <f t="shared" ref="T31:W34" si="52">T6/P6-1</f>
        <v>0.35902503293807642</v>
      </c>
      <c r="U31" s="8">
        <f t="shared" si="52"/>
        <v>-1</v>
      </c>
      <c r="V31" s="8">
        <f t="shared" si="52"/>
        <v>-1</v>
      </c>
      <c r="W31" s="8">
        <f t="shared" si="52"/>
        <v>-1</v>
      </c>
      <c r="AE31" s="14">
        <f t="shared" si="51"/>
        <v>1.440443213296394E-2</v>
      </c>
      <c r="AF31" s="8">
        <v>0.14000000000000001</v>
      </c>
      <c r="AG31" s="14">
        <v>0.08</v>
      </c>
      <c r="AH31" s="8">
        <v>0.06</v>
      </c>
      <c r="AI31" s="8">
        <v>0.04</v>
      </c>
      <c r="AJ31" s="8">
        <v>0.03</v>
      </c>
      <c r="AK31" s="8">
        <v>0.03</v>
      </c>
      <c r="AL31" s="8">
        <v>0.03</v>
      </c>
      <c r="AM31" s="8">
        <v>0.03</v>
      </c>
      <c r="AN31" s="8">
        <v>0.03</v>
      </c>
      <c r="AO31" s="8">
        <v>0.03</v>
      </c>
      <c r="AP31" s="8">
        <v>0.03</v>
      </c>
    </row>
    <row r="32" spans="2:152" x14ac:dyDescent="0.3">
      <c r="B32" t="s">
        <v>100</v>
      </c>
      <c r="P32" s="8">
        <f t="shared" si="49"/>
        <v>-8.3948959032907999E-2</v>
      </c>
      <c r="Q32" s="8">
        <f t="shared" si="49"/>
        <v>-1.4662756598240456E-2</v>
      </c>
      <c r="R32" s="8">
        <f t="shared" si="50"/>
        <v>4.2068965517241486E-2</v>
      </c>
      <c r="S32" s="8">
        <f t="shared" si="50"/>
        <v>0.1033310673011556</v>
      </c>
      <c r="T32" s="8">
        <f t="shared" si="52"/>
        <v>-1</v>
      </c>
      <c r="U32" s="8">
        <f t="shared" si="52"/>
        <v>-1</v>
      </c>
      <c r="V32" s="8">
        <f t="shared" si="52"/>
        <v>-1</v>
      </c>
      <c r="W32" s="8">
        <f t="shared" si="52"/>
        <v>-1</v>
      </c>
      <c r="AE32" s="14">
        <f t="shared" si="51"/>
        <v>1.17769310703153E-2</v>
      </c>
      <c r="AF32" s="8">
        <v>-0.02</v>
      </c>
      <c r="AG32" s="14">
        <v>-0.02</v>
      </c>
      <c r="AH32" s="8">
        <v>-0.02</v>
      </c>
      <c r="AI32" s="8">
        <v>-0.02</v>
      </c>
      <c r="AJ32" s="8">
        <v>-0.02</v>
      </c>
      <c r="AK32" s="8">
        <v>-0.02</v>
      </c>
      <c r="AL32" s="8">
        <v>-0.02</v>
      </c>
      <c r="AM32" s="8">
        <v>-0.02</v>
      </c>
      <c r="AN32" s="8">
        <v>-0.02</v>
      </c>
      <c r="AO32" s="8">
        <v>-0.02</v>
      </c>
      <c r="AP32" s="8">
        <v>-0.02</v>
      </c>
    </row>
    <row r="33" spans="2:45" x14ac:dyDescent="0.3">
      <c r="B33" t="s">
        <v>101</v>
      </c>
      <c r="P33" s="8">
        <f t="shared" si="49"/>
        <v>-9.5632374249637775E-2</v>
      </c>
      <c r="Q33" s="8">
        <f t="shared" si="49"/>
        <v>3.5474592521572479E-2</v>
      </c>
      <c r="R33" s="8">
        <f t="shared" si="50"/>
        <v>-8.0304311073541856E-2</v>
      </c>
      <c r="S33" s="8">
        <f t="shared" si="50"/>
        <v>-0.13004830917874399</v>
      </c>
      <c r="T33" s="8">
        <f t="shared" si="52"/>
        <v>-1</v>
      </c>
      <c r="U33" s="8">
        <f t="shared" si="52"/>
        <v>-1</v>
      </c>
      <c r="V33" s="8">
        <f t="shared" si="52"/>
        <v>-1</v>
      </c>
      <c r="W33" s="8">
        <f t="shared" si="52"/>
        <v>-1</v>
      </c>
      <c r="AE33" s="14">
        <f t="shared" si="51"/>
        <v>-7.2289793759915399E-2</v>
      </c>
      <c r="AF33" s="8">
        <v>0.03</v>
      </c>
      <c r="AG33" s="14">
        <v>0.08</v>
      </c>
      <c r="AH33" s="8">
        <v>0.06</v>
      </c>
      <c r="AI33" s="8">
        <v>0.04</v>
      </c>
      <c r="AJ33" s="8">
        <v>0.03</v>
      </c>
      <c r="AK33" s="8">
        <v>0.02</v>
      </c>
      <c r="AL33" s="8">
        <v>0.02</v>
      </c>
      <c r="AM33" s="8">
        <v>0.02</v>
      </c>
      <c r="AN33" s="8">
        <v>0.02</v>
      </c>
      <c r="AO33" s="8">
        <v>0.02</v>
      </c>
      <c r="AP33" s="8">
        <v>0.02</v>
      </c>
    </row>
    <row r="34" spans="2:45" x14ac:dyDescent="0.3">
      <c r="B34" t="s">
        <v>102</v>
      </c>
      <c r="P34" s="8">
        <f t="shared" si="49"/>
        <v>-0.46180555555555558</v>
      </c>
      <c r="Q34" s="8">
        <f t="shared" si="49"/>
        <v>-0.31782945736434109</v>
      </c>
      <c r="R34" s="8">
        <f t="shared" si="50"/>
        <v>-0.28443526170798894</v>
      </c>
      <c r="S34" s="8">
        <f t="shared" si="50"/>
        <v>-0.19660755589822665</v>
      </c>
      <c r="T34" s="8">
        <f t="shared" si="52"/>
        <v>-1</v>
      </c>
      <c r="U34" s="8">
        <f t="shared" si="52"/>
        <v>-1</v>
      </c>
      <c r="V34" s="8">
        <f t="shared" si="52"/>
        <v>-1</v>
      </c>
      <c r="W34" s="8">
        <f t="shared" si="52"/>
        <v>-1</v>
      </c>
      <c r="AE34" s="14">
        <f t="shared" si="51"/>
        <v>-0.31811697574893005</v>
      </c>
      <c r="AF34" s="8">
        <v>-0.05</v>
      </c>
      <c r="AG34" s="14">
        <v>-0.05</v>
      </c>
      <c r="AH34" s="8">
        <v>-0.05</v>
      </c>
      <c r="AI34" s="8">
        <v>-0.05</v>
      </c>
      <c r="AJ34" s="8">
        <v>-0.05</v>
      </c>
      <c r="AK34" s="8">
        <v>-0.05</v>
      </c>
      <c r="AL34" s="8">
        <v>-0.05</v>
      </c>
      <c r="AM34" s="8">
        <v>-0.05</v>
      </c>
      <c r="AN34" s="8">
        <v>-0.05</v>
      </c>
      <c r="AO34" s="8">
        <v>-0.05</v>
      </c>
      <c r="AP34" s="8">
        <v>-0.05</v>
      </c>
    </row>
    <row r="35" spans="2:45" s="1" customFormat="1" x14ac:dyDescent="0.3">
      <c r="B35" s="1" t="s">
        <v>44</v>
      </c>
      <c r="G35" s="10">
        <f>G11/C11-1</f>
        <v>2.7530283311642867E-2</v>
      </c>
      <c r="H35" s="10">
        <f t="shared" ref="H35:S35" si="53">H11/D11-1</f>
        <v>-6.7097036547552502E-2</v>
      </c>
      <c r="I35" s="10">
        <f t="shared" si="53"/>
        <v>-0.2195507106107687</v>
      </c>
      <c r="J35" s="10">
        <f t="shared" si="53"/>
        <v>-0.20081283868278454</v>
      </c>
      <c r="K35" s="10">
        <f t="shared" si="53"/>
        <v>-0.31595869056897896</v>
      </c>
      <c r="L35" s="10">
        <f t="shared" si="53"/>
        <v>-0.36168473818994173</v>
      </c>
      <c r="M35" s="10">
        <f t="shared" si="53"/>
        <v>-0.15482018145029697</v>
      </c>
      <c r="N35" s="10">
        <f t="shared" si="53"/>
        <v>-7.6933107315164895E-2</v>
      </c>
      <c r="O35" s="10">
        <f t="shared" si="53"/>
        <v>9.7137159948725182E-2</v>
      </c>
      <c r="P35" s="10">
        <f t="shared" si="53"/>
        <v>8.6128894579598825E-2</v>
      </c>
      <c r="Q35" s="10">
        <f t="shared" si="53"/>
        <v>-8.9582207120241231E-3</v>
      </c>
      <c r="R35" s="10">
        <f t="shared" si="53"/>
        <v>-6.1731883034326862E-2</v>
      </c>
      <c r="S35" s="10">
        <f t="shared" si="53"/>
        <v>-7.4386602622354969E-2</v>
      </c>
      <c r="T35" s="10">
        <f t="shared" ref="T35" si="54">T11/P11-1</f>
        <v>-4.4797233574347395E-3</v>
      </c>
      <c r="U35" s="10">
        <f t="shared" ref="U35" si="55">U11/Q11-1</f>
        <v>-6.0000000000000053E-2</v>
      </c>
      <c r="V35" s="10">
        <f t="shared" ref="V35" si="56">V11/R11-1</f>
        <v>-4.0000000000000036E-2</v>
      </c>
      <c r="W35" s="10">
        <f t="shared" ref="W35" si="57">W11/S11-1</f>
        <v>-3.0000000000000027E-2</v>
      </c>
      <c r="Z35" s="10">
        <f>Z11/Y11-1</f>
        <v>1.576614724480585E-2</v>
      </c>
      <c r="AA35" s="10">
        <f t="shared" ref="AA35:AP35" si="58">AA11/Z11-1</f>
        <v>8.2012089210032668E-2</v>
      </c>
      <c r="AB35" s="10">
        <f t="shared" si="58"/>
        <v>1.4858669269395275E-2</v>
      </c>
      <c r="AC35" s="10">
        <f t="shared" si="58"/>
        <v>-0.20209050415063778</v>
      </c>
      <c r="AD35" s="10">
        <f t="shared" si="58"/>
        <v>-0.13997525930155108</v>
      </c>
      <c r="AE35" s="10">
        <f t="shared" si="58"/>
        <v>-2.0782621523935951E-2</v>
      </c>
      <c r="AF35" s="10">
        <f t="shared" si="58"/>
        <v>-3.363665467693655E-2</v>
      </c>
      <c r="AG35" s="10">
        <f t="shared" si="58"/>
        <v>0.10000000000000009</v>
      </c>
      <c r="AH35" s="10">
        <f t="shared" si="58"/>
        <v>7.0000000000000062E-2</v>
      </c>
      <c r="AI35" s="10">
        <f t="shared" si="58"/>
        <v>5.0000000000000044E-2</v>
      </c>
      <c r="AJ35" s="10">
        <f t="shared" si="58"/>
        <v>4.0000000000000036E-2</v>
      </c>
      <c r="AK35" s="10">
        <f t="shared" si="58"/>
        <v>3.0000000000000027E-2</v>
      </c>
      <c r="AL35" s="10">
        <f t="shared" si="58"/>
        <v>3.0000000000000027E-2</v>
      </c>
      <c r="AM35" s="10">
        <f t="shared" si="58"/>
        <v>3.0000000000000027E-2</v>
      </c>
      <c r="AN35" s="10">
        <f t="shared" si="58"/>
        <v>3.0000000000000027E-2</v>
      </c>
      <c r="AO35" s="10">
        <f t="shared" si="58"/>
        <v>3.0000000000000027E-2</v>
      </c>
      <c r="AP35" s="10">
        <f t="shared" si="58"/>
        <v>3.0000000000000027E-2</v>
      </c>
    </row>
    <row r="36" spans="2:45" x14ac:dyDescent="0.3">
      <c r="B36" t="s">
        <v>43</v>
      </c>
      <c r="C36" s="8">
        <f t="shared" ref="C36:F36" si="59">C13/C11</f>
        <v>0.568024827310041</v>
      </c>
      <c r="D36" s="8">
        <f t="shared" si="59"/>
        <v>0.55172063233873836</v>
      </c>
      <c r="E36" s="8">
        <f t="shared" si="59"/>
        <v>0.57083184758799854</v>
      </c>
      <c r="F36" s="8">
        <f t="shared" si="59"/>
        <v>0.55992080033347225</v>
      </c>
      <c r="G36" s="8">
        <f>G13/G11</f>
        <v>0.53629189399844113</v>
      </c>
      <c r="H36" s="8">
        <f t="shared" ref="H36:S36" si="60">H13/H11</f>
        <v>0.50367787282733067</v>
      </c>
      <c r="I36" s="8">
        <f t="shared" si="60"/>
        <v>0.36466288101298872</v>
      </c>
      <c r="J36" s="8">
        <f t="shared" si="60"/>
        <v>0.42606597991915501</v>
      </c>
      <c r="K36" s="8">
        <f t="shared" si="60"/>
        <v>0.39168209656744052</v>
      </c>
      <c r="L36" s="8">
        <f t="shared" si="60"/>
        <v>0.34212548015364919</v>
      </c>
      <c r="M36" s="8">
        <f t="shared" si="60"/>
        <v>0.35817437639972199</v>
      </c>
      <c r="N36" s="8">
        <f t="shared" si="60"/>
        <v>0.42506003672835146</v>
      </c>
      <c r="O36" s="8">
        <f t="shared" si="60"/>
        <v>0.45741918732961184</v>
      </c>
      <c r="P36" s="8">
        <f t="shared" si="60"/>
        <v>0.41001257466205598</v>
      </c>
      <c r="Q36" s="8">
        <f t="shared" si="60"/>
        <v>0.35432089145172602</v>
      </c>
      <c r="R36" s="8">
        <f t="shared" si="60"/>
        <v>0.15033122553447756</v>
      </c>
      <c r="S36" s="8">
        <f t="shared" si="60"/>
        <v>0.39158485273492288</v>
      </c>
      <c r="T36" s="8">
        <f t="shared" ref="T36:W36" si="61">T13/T11</f>
        <v>0.36883239914739085</v>
      </c>
      <c r="U36" s="8">
        <f t="shared" si="61"/>
        <v>0.36499999999999999</v>
      </c>
      <c r="V36" s="8">
        <f t="shared" si="61"/>
        <v>0.37</v>
      </c>
      <c r="W36" s="8">
        <f t="shared" si="61"/>
        <v>0.38</v>
      </c>
      <c r="Y36" s="8">
        <f t="shared" ref="Y36" si="62">Y13/Y11</f>
        <v>0.61733570460704612</v>
      </c>
      <c r="Z36" s="8">
        <f t="shared" ref="Z36:AP36" si="63">Z13/Z11</f>
        <v>0.5855624261793928</v>
      </c>
      <c r="AA36" s="8">
        <f t="shared" si="63"/>
        <v>0.5600832188218372</v>
      </c>
      <c r="AB36" s="8">
        <f t="shared" si="63"/>
        <v>0.5544518121077141</v>
      </c>
      <c r="AC36" s="8">
        <f t="shared" si="63"/>
        <v>0.42607923367272499</v>
      </c>
      <c r="AD36" s="8">
        <f t="shared" si="63"/>
        <v>0.40036512502766097</v>
      </c>
      <c r="AE36" s="8">
        <f t="shared" si="63"/>
        <v>0.32664168283083184</v>
      </c>
      <c r="AF36" s="8">
        <f t="shared" si="63"/>
        <v>0.3712319413908563</v>
      </c>
      <c r="AG36" s="8">
        <f t="shared" si="63"/>
        <v>0.4</v>
      </c>
      <c r="AH36" s="8">
        <f t="shared" si="63"/>
        <v>0.42</v>
      </c>
      <c r="AI36" s="8">
        <f t="shared" si="63"/>
        <v>0.42</v>
      </c>
      <c r="AJ36" s="8">
        <f t="shared" si="63"/>
        <v>0.42</v>
      </c>
      <c r="AK36" s="8">
        <f t="shared" si="63"/>
        <v>0.42</v>
      </c>
      <c r="AL36" s="8">
        <f t="shared" si="63"/>
        <v>0.42</v>
      </c>
      <c r="AM36" s="8">
        <f t="shared" si="63"/>
        <v>0.42</v>
      </c>
      <c r="AN36" s="8">
        <f t="shared" si="63"/>
        <v>0.42</v>
      </c>
      <c r="AO36" s="8">
        <f t="shared" si="63"/>
        <v>0.42</v>
      </c>
      <c r="AP36" s="8">
        <f t="shared" si="63"/>
        <v>0.42</v>
      </c>
    </row>
    <row r="37" spans="2:45" x14ac:dyDescent="0.3">
      <c r="B37" t="s">
        <v>45</v>
      </c>
      <c r="C37" s="8"/>
      <c r="D37" s="8"/>
      <c r="E37" s="8"/>
      <c r="F37" s="8"/>
      <c r="G37" s="8">
        <f>G14/C14-1</f>
        <v>0.10779753761969912</v>
      </c>
      <c r="H37" s="8">
        <f t="shared" ref="H37:S37" si="64">H14/D14-1</f>
        <v>0.20397460667954737</v>
      </c>
      <c r="I37" s="8">
        <f t="shared" si="64"/>
        <v>0.18438761776581436</v>
      </c>
      <c r="J37" s="8">
        <f t="shared" si="64"/>
        <v>0.13121220089403107</v>
      </c>
      <c r="K37" s="8">
        <f t="shared" si="64"/>
        <v>0.10249444307236355</v>
      </c>
      <c r="L37" s="8">
        <f t="shared" si="64"/>
        <v>-5.8000917010545661E-2</v>
      </c>
      <c r="M37" s="8">
        <f t="shared" si="64"/>
        <v>-7.2727272727272751E-2</v>
      </c>
      <c r="N37" s="8">
        <f t="shared" si="64"/>
        <v>-0.10041841004184104</v>
      </c>
      <c r="O37" s="8">
        <f t="shared" si="64"/>
        <v>-0.10685483870967738</v>
      </c>
      <c r="P37" s="8">
        <f t="shared" si="64"/>
        <v>6.6439522998296363E-2</v>
      </c>
      <c r="Q37" s="8">
        <f t="shared" si="64"/>
        <v>3.8970588235294201E-2</v>
      </c>
      <c r="R37" s="8">
        <f t="shared" si="64"/>
        <v>4.6253229974160259E-2</v>
      </c>
      <c r="S37" s="8">
        <f t="shared" si="64"/>
        <v>-2.7840481565086561E-2</v>
      </c>
      <c r="T37" s="8">
        <f t="shared" ref="T37:T38" si="65">T14/P14-1</f>
        <v>-0.16932907348242809</v>
      </c>
      <c r="U37" s="8">
        <f t="shared" ref="U37:U38" si="66">U14/Q14-1</f>
        <v>-1.9999999999999907E-2</v>
      </c>
      <c r="V37" s="8">
        <f t="shared" ref="V37:V38" si="67">V14/R14-1</f>
        <v>-2.0000000000000018E-2</v>
      </c>
      <c r="W37" s="8">
        <f t="shared" ref="W37:W38" si="68">W14/S14-1</f>
        <v>5.0000000000000044E-2</v>
      </c>
      <c r="Y37" s="8"/>
      <c r="Z37" s="8">
        <f>Z14/Y14-1</f>
        <v>-1.3364837923650619E-2</v>
      </c>
      <c r="AA37" s="8">
        <f t="shared" ref="AA37:AP37" si="69">AA14/Z14-1</f>
        <v>1.451878461308187E-2</v>
      </c>
      <c r="AB37" s="8">
        <f t="shared" si="69"/>
        <v>0.12053703157273521</v>
      </c>
      <c r="AC37" s="8">
        <f t="shared" si="69"/>
        <v>0.15391705069124417</v>
      </c>
      <c r="AD37" s="8">
        <f t="shared" si="69"/>
        <v>-8.4550433591967122E-2</v>
      </c>
      <c r="AE37" s="8">
        <f t="shared" si="69"/>
        <v>3.116041381029544E-2</v>
      </c>
      <c r="AF37" s="8">
        <f t="shared" si="69"/>
        <v>-4.3150006043756739E-2</v>
      </c>
      <c r="AG37" s="8">
        <f t="shared" si="69"/>
        <v>2.0000000000000018E-2</v>
      </c>
      <c r="AH37" s="8">
        <f t="shared" si="69"/>
        <v>1.0000000000000009E-2</v>
      </c>
      <c r="AI37" s="8">
        <f t="shared" si="69"/>
        <v>1.0000000000000009E-2</v>
      </c>
      <c r="AJ37" s="8">
        <f t="shared" si="69"/>
        <v>1.0000000000000009E-2</v>
      </c>
      <c r="AK37" s="8">
        <f t="shared" si="69"/>
        <v>1.0000000000000009E-2</v>
      </c>
      <c r="AL37" s="8">
        <f t="shared" si="69"/>
        <v>1.0000000000000009E-2</v>
      </c>
      <c r="AM37" s="8">
        <f t="shared" si="69"/>
        <v>1.0000000000000009E-2</v>
      </c>
      <c r="AN37" s="8">
        <f t="shared" si="69"/>
        <v>1.0000000000000009E-2</v>
      </c>
      <c r="AO37" s="8">
        <f t="shared" si="69"/>
        <v>1.0000000000000009E-2</v>
      </c>
      <c r="AP37" s="8">
        <f t="shared" si="69"/>
        <v>1.0000000000000009E-2</v>
      </c>
      <c r="AR37" t="s">
        <v>49</v>
      </c>
      <c r="AS37" s="8">
        <v>-0.01</v>
      </c>
    </row>
    <row r="38" spans="2:45" x14ac:dyDescent="0.3">
      <c r="B38" t="s">
        <v>46</v>
      </c>
      <c r="C38" s="8"/>
      <c r="D38" s="8"/>
      <c r="E38" s="8"/>
      <c r="F38" s="8"/>
      <c r="G38" s="8">
        <f>G15/C15-1</f>
        <v>0.10529311326124069</v>
      </c>
      <c r="H38" s="8">
        <f t="shared" ref="H38:S38" si="70">H15/D15-1</f>
        <v>0.31927710843373491</v>
      </c>
      <c r="I38" s="8">
        <f t="shared" si="70"/>
        <v>0.12570356472795496</v>
      </c>
      <c r="J38" s="8">
        <f t="shared" si="70"/>
        <v>4.1816009557944955E-2</v>
      </c>
      <c r="K38" s="8">
        <f t="shared" si="70"/>
        <v>-0.12152420185375901</v>
      </c>
      <c r="L38" s="8">
        <f t="shared" si="70"/>
        <v>-0.25627853881278539</v>
      </c>
      <c r="M38" s="8">
        <f t="shared" si="70"/>
        <v>-0.23666666666666669</v>
      </c>
      <c r="N38" s="8">
        <f t="shared" si="70"/>
        <v>-0.23165137614678899</v>
      </c>
      <c r="O38" s="8">
        <f t="shared" si="70"/>
        <v>-5.216881594372802E-2</v>
      </c>
      <c r="P38" s="8">
        <f t="shared" si="70"/>
        <v>0.19416730621642353</v>
      </c>
      <c r="Q38" s="8">
        <f t="shared" si="70"/>
        <v>-3.2751091703056789E-2</v>
      </c>
      <c r="R38" s="8">
        <f t="shared" si="70"/>
        <v>3.2089552238806052E-2</v>
      </c>
      <c r="S38" s="8">
        <f t="shared" si="70"/>
        <v>-0.23376623376623373</v>
      </c>
      <c r="T38" s="8">
        <f t="shared" si="65"/>
        <v>-0.24357326478149099</v>
      </c>
      <c r="U38" s="8">
        <f t="shared" si="66"/>
        <v>-0.15000000000000013</v>
      </c>
      <c r="V38" s="8">
        <f t="shared" si="67"/>
        <v>-0.15000000000000002</v>
      </c>
      <c r="W38" s="8">
        <f t="shared" si="68"/>
        <v>3.0000000000000027E-2</v>
      </c>
      <c r="Y38" s="8"/>
      <c r="Z38" s="8">
        <f>Z15/Y15-1</f>
        <v>-8.633093525179858E-2</v>
      </c>
      <c r="AA38" s="8">
        <f t="shared" ref="AA38:AP38" si="71">AA15/Z15-1</f>
        <v>-2.6771653543307128E-2</v>
      </c>
      <c r="AB38" s="8">
        <f t="shared" si="71"/>
        <v>5.8737864077669899E-2</v>
      </c>
      <c r="AC38" s="8">
        <f t="shared" si="71"/>
        <v>7.0151306740027453E-2</v>
      </c>
      <c r="AD38" s="8">
        <f t="shared" si="71"/>
        <v>-0.19537275064267356</v>
      </c>
      <c r="AE38" s="8">
        <f t="shared" si="71"/>
        <v>-2.2541711040113599E-2</v>
      </c>
      <c r="AF38" s="8">
        <f t="shared" si="71"/>
        <v>-0.13594152896313783</v>
      </c>
      <c r="AG38" s="8">
        <f t="shared" si="71"/>
        <v>2.0000000000000018E-2</v>
      </c>
      <c r="AH38" s="8">
        <f t="shared" si="71"/>
        <v>2.0000000000000018E-2</v>
      </c>
      <c r="AI38" s="8">
        <f t="shared" si="71"/>
        <v>2.0000000000000018E-2</v>
      </c>
      <c r="AJ38" s="8">
        <f t="shared" si="71"/>
        <v>2.0000000000000018E-2</v>
      </c>
      <c r="AK38" s="8">
        <f t="shared" si="71"/>
        <v>2.0000000000000018E-2</v>
      </c>
      <c r="AL38" s="8">
        <f t="shared" si="71"/>
        <v>1.0000000000000009E-2</v>
      </c>
      <c r="AM38" s="8">
        <f t="shared" si="71"/>
        <v>1.0000000000000009E-2</v>
      </c>
      <c r="AN38" s="8">
        <f t="shared" si="71"/>
        <v>1.0000000000000009E-2</v>
      </c>
      <c r="AO38" s="8">
        <f t="shared" si="71"/>
        <v>1.0000000000000009E-2</v>
      </c>
      <c r="AP38" s="8">
        <f t="shared" si="71"/>
        <v>1.0000000000000009E-2</v>
      </c>
      <c r="AR38" t="s">
        <v>50</v>
      </c>
      <c r="AS38" s="8">
        <v>0.06</v>
      </c>
    </row>
    <row r="39" spans="2:45" x14ac:dyDescent="0.3">
      <c r="B39" t="s">
        <v>47</v>
      </c>
      <c r="C39" s="8">
        <f t="shared" ref="C39:F39" si="72">C18/C11</f>
        <v>0.2945239763740114</v>
      </c>
      <c r="D39" s="8">
        <f t="shared" si="72"/>
        <v>0.18777004015655976</v>
      </c>
      <c r="E39" s="8">
        <f t="shared" si="72"/>
        <v>0.28251235291121185</v>
      </c>
      <c r="F39" s="8">
        <f t="shared" si="72"/>
        <v>0.27235306377657359</v>
      </c>
      <c r="G39" s="8">
        <f>G18/G11</f>
        <v>0.24303390491036633</v>
      </c>
      <c r="H39" s="8">
        <f t="shared" ref="H39:S39" si="73">H18/H11</f>
        <v>0.23652808805099984</v>
      </c>
      <c r="I39" s="8">
        <f t="shared" si="73"/>
        <v>-4.5688923699497425E-2</v>
      </c>
      <c r="J39" s="8">
        <f t="shared" si="73"/>
        <v>-1.1409571000130394E-2</v>
      </c>
      <c r="K39" s="8">
        <f t="shared" si="73"/>
        <v>-8.0615296966244129E-2</v>
      </c>
      <c r="L39" s="8">
        <f t="shared" si="73"/>
        <v>-0.12530943235168587</v>
      </c>
      <c r="M39" s="8">
        <f t="shared" si="73"/>
        <v>-7.8461657270831722E-2</v>
      </c>
      <c r="N39" s="8">
        <f t="shared" si="73"/>
        <v>-5.6505156095493713E-4</v>
      </c>
      <c r="O39" s="8">
        <f t="shared" si="73"/>
        <v>0.18531740880176556</v>
      </c>
      <c r="P39" s="8">
        <f t="shared" si="73"/>
        <v>-8.4014460861364354E-2</v>
      </c>
      <c r="Q39" s="8">
        <f t="shared" si="73"/>
        <v>-0.15304293618016052</v>
      </c>
      <c r="R39" s="8">
        <f t="shared" si="73"/>
        <v>-0.68179765130984649</v>
      </c>
      <c r="S39" s="8">
        <f t="shared" si="73"/>
        <v>2.8892005610098175E-2</v>
      </c>
      <c r="T39" s="8">
        <f t="shared" ref="T39:W39" si="74">T18/T11</f>
        <v>-2.3762532564932503E-2</v>
      </c>
      <c r="U39" s="8">
        <f t="shared" si="74"/>
        <v>-8.1311951733479743E-2</v>
      </c>
      <c r="V39" s="8">
        <f t="shared" si="74"/>
        <v>-4.117525469236176E-2</v>
      </c>
      <c r="W39" s="8">
        <f t="shared" si="74"/>
        <v>-1.0102080652390827E-2</v>
      </c>
      <c r="Y39" s="8">
        <f t="shared" ref="Y39" si="75">Y18/Y11</f>
        <v>0.32909891598915991</v>
      </c>
      <c r="Z39" s="8">
        <f t="shared" ref="Z39:AP39" si="76">Z18/Z11</f>
        <v>0.30619050927534219</v>
      </c>
      <c r="AA39" s="8">
        <f t="shared" si="76"/>
        <v>0.30408260238611995</v>
      </c>
      <c r="AB39" s="8">
        <f t="shared" si="76"/>
        <v>0.24620368495646891</v>
      </c>
      <c r="AC39" s="8">
        <f t="shared" si="76"/>
        <v>3.7015891140926828E-2</v>
      </c>
      <c r="AD39" s="8">
        <f t="shared" si="76"/>
        <v>6.6939588404514271E-3</v>
      </c>
      <c r="AE39" s="8">
        <f t="shared" si="76"/>
        <v>-0.21992052880360069</v>
      </c>
      <c r="AF39" s="8">
        <f t="shared" si="76"/>
        <v>-3.7936280056108621E-2</v>
      </c>
      <c r="AG39" s="8">
        <f t="shared" si="76"/>
        <v>2.2891122128613918E-2</v>
      </c>
      <c r="AH39" s="8">
        <f t="shared" si="76"/>
        <v>6.4692517071751401E-2</v>
      </c>
      <c r="AI39" s="8">
        <f t="shared" si="76"/>
        <v>7.8419869368408099E-2</v>
      </c>
      <c r="AJ39" s="8">
        <f t="shared" si="76"/>
        <v>8.8162061850819914E-2</v>
      </c>
      <c r="AK39" s="8">
        <f t="shared" si="76"/>
        <v>9.4292161067853528E-2</v>
      </c>
      <c r="AL39" s="8">
        <f t="shared" si="76"/>
        <v>0.10091890119145404</v>
      </c>
      <c r="AM39" s="8">
        <f t="shared" si="76"/>
        <v>0.10732010820391696</v>
      </c>
      <c r="AN39" s="8">
        <f t="shared" si="76"/>
        <v>0.11353119373852479</v>
      </c>
      <c r="AO39" s="8">
        <f t="shared" si="76"/>
        <v>0.11957693942076957</v>
      </c>
      <c r="AP39" s="8">
        <f t="shared" si="76"/>
        <v>0.12547488870644205</v>
      </c>
      <c r="AR39" t="s">
        <v>51</v>
      </c>
      <c r="AS39" s="2">
        <f>NPV(AS38,AF24:EV24)</f>
        <v>78604.04604405124</v>
      </c>
    </row>
    <row r="40" spans="2:45" x14ac:dyDescent="0.3">
      <c r="B40" t="s">
        <v>29</v>
      </c>
      <c r="C40" s="8">
        <f t="shared" ref="C40:F40" si="77">C22/C21</f>
        <v>0.21781517094017094</v>
      </c>
      <c r="D40" s="8">
        <f t="shared" si="77"/>
        <v>0.1395289298515105</v>
      </c>
      <c r="E40" s="8">
        <f t="shared" si="77"/>
        <v>0.11906005221932114</v>
      </c>
      <c r="F40" s="8">
        <f t="shared" si="77"/>
        <v>5.1035287255759695E-3</v>
      </c>
      <c r="G40" s="8">
        <f>G22/G21</f>
        <v>0.10993453985367732</v>
      </c>
      <c r="H40" s="8">
        <f t="shared" ref="H40:S40" si="78">H22/H21</f>
        <v>0.16023186005589485</v>
      </c>
      <c r="I40" s="8">
        <f t="shared" si="78"/>
        <v>0.50055005500550054</v>
      </c>
      <c r="J40" s="8">
        <f t="shared" si="78"/>
        <v>6.4202127659574471</v>
      </c>
      <c r="K40" s="8">
        <f t="shared" si="78"/>
        <v>0.16959798994974876</v>
      </c>
      <c r="L40" s="8">
        <f t="shared" si="78"/>
        <v>-1.390328151986183</v>
      </c>
      <c r="M40" s="8">
        <f t="shared" si="78"/>
        <v>2.8051470588235294</v>
      </c>
      <c r="N40" s="8">
        <f t="shared" si="78"/>
        <v>6.9615384615384617</v>
      </c>
      <c r="O40" s="8">
        <f t="shared" si="78"/>
        <v>4.1857423152387184E-2</v>
      </c>
      <c r="P40" s="8">
        <f t="shared" si="78"/>
        <v>0.39221140472878996</v>
      </c>
      <c r="Q40" s="8">
        <f t="shared" si="78"/>
        <v>0.17465069860279442</v>
      </c>
      <c r="R40" s="8">
        <f t="shared" si="78"/>
        <v>-0.86979969183359018</v>
      </c>
      <c r="S40" s="8">
        <f t="shared" si="78"/>
        <v>1.2554257095158599</v>
      </c>
      <c r="T40" s="8">
        <f t="shared" ref="T40:W40" si="79">T22/T21</f>
        <v>-0.51365187713310578</v>
      </c>
      <c r="U40" s="8">
        <f t="shared" si="79"/>
        <v>0.2</v>
      </c>
      <c r="V40" s="8">
        <f t="shared" si="79"/>
        <v>0.2</v>
      </c>
      <c r="W40" s="8">
        <f t="shared" si="79"/>
        <v>0.2</v>
      </c>
      <c r="Y40" s="8">
        <f t="shared" ref="Y40" si="80">Y22/Y21</f>
        <v>9.7096539005875546E-2</v>
      </c>
      <c r="Z40" s="8">
        <f t="shared" ref="Z40:AP40" si="81">Z22/Z21</f>
        <v>0.12511430709119628</v>
      </c>
      <c r="AA40" s="8">
        <f t="shared" si="81"/>
        <v>0.16664008294122337</v>
      </c>
      <c r="AB40" s="8">
        <f t="shared" si="81"/>
        <v>8.4550522969174771E-2</v>
      </c>
      <c r="AC40" s="8">
        <f t="shared" si="81"/>
        <v>-3.2054582904222452E-2</v>
      </c>
      <c r="AD40" s="8">
        <f t="shared" si="81"/>
        <v>-0.88468992248062017</v>
      </c>
      <c r="AE40" s="8">
        <f t="shared" si="81"/>
        <v>-0.71570026761819805</v>
      </c>
      <c r="AF40" s="8">
        <f t="shared" si="81"/>
        <v>1.2608793433188475E-2</v>
      </c>
      <c r="AG40" s="8">
        <f t="shared" si="81"/>
        <v>0.25</v>
      </c>
      <c r="AH40" s="8">
        <f t="shared" si="81"/>
        <v>0.25</v>
      </c>
      <c r="AI40" s="8">
        <f t="shared" si="81"/>
        <v>0.25</v>
      </c>
      <c r="AJ40" s="8">
        <f t="shared" si="81"/>
        <v>0.25</v>
      </c>
      <c r="AK40" s="8">
        <f t="shared" si="81"/>
        <v>0.25</v>
      </c>
      <c r="AL40" s="8">
        <f t="shared" si="81"/>
        <v>0.25</v>
      </c>
      <c r="AM40" s="8">
        <f t="shared" si="81"/>
        <v>0.25</v>
      </c>
      <c r="AN40" s="8">
        <f t="shared" si="81"/>
        <v>0.25</v>
      </c>
      <c r="AO40" s="8">
        <f t="shared" si="81"/>
        <v>0.25</v>
      </c>
      <c r="AP40" s="8">
        <f t="shared" si="81"/>
        <v>0.25</v>
      </c>
      <c r="AR40" t="s">
        <v>52</v>
      </c>
      <c r="AS40" s="2">
        <f>Main!D8</f>
        <v>-24076</v>
      </c>
    </row>
    <row r="41" spans="2:45" x14ac:dyDescent="0.3">
      <c r="B41" t="s">
        <v>30</v>
      </c>
      <c r="C41" s="8">
        <f t="shared" ref="C41:F41" si="82">C23/C21</f>
        <v>0</v>
      </c>
      <c r="D41" s="8">
        <f t="shared" si="82"/>
        <v>0</v>
      </c>
      <c r="E41" s="8">
        <f t="shared" si="82"/>
        <v>0</v>
      </c>
      <c r="F41" s="8">
        <f t="shared" si="82"/>
        <v>0</v>
      </c>
      <c r="G41" s="8">
        <f>G23/G21</f>
        <v>0</v>
      </c>
      <c r="H41" s="8">
        <f t="shared" ref="H41:S41" si="83">H23/H21</f>
        <v>0</v>
      </c>
      <c r="I41" s="8">
        <f t="shared" si="83"/>
        <v>0</v>
      </c>
      <c r="J41" s="8">
        <f t="shared" si="83"/>
        <v>0</v>
      </c>
      <c r="K41" s="8">
        <f t="shared" si="83"/>
        <v>-3.7688442211055275E-3</v>
      </c>
      <c r="L41" s="8">
        <f t="shared" si="83"/>
        <v>8.6355785837651123E-3</v>
      </c>
      <c r="M41" s="8">
        <f t="shared" si="83"/>
        <v>9.8039215686274508E-3</v>
      </c>
      <c r="N41" s="8">
        <f t="shared" si="83"/>
        <v>-0.25</v>
      </c>
      <c r="O41" s="8">
        <f t="shared" si="83"/>
        <v>-2.9431000654022237E-3</v>
      </c>
      <c r="P41" s="8">
        <f t="shared" si="83"/>
        <v>7.7885952712100137E-2</v>
      </c>
      <c r="Q41" s="8">
        <f t="shared" si="83"/>
        <v>2.1956087824351298E-2</v>
      </c>
      <c r="R41" s="8">
        <f t="shared" si="83"/>
        <v>3.8520801232665637E-2</v>
      </c>
      <c r="S41" s="8">
        <f t="shared" si="83"/>
        <v>-4.5075125208681135E-2</v>
      </c>
      <c r="T41" s="8">
        <f t="shared" ref="T41:W41" si="84">T23/T21</f>
        <v>0.11262798634812286</v>
      </c>
      <c r="U41" s="8">
        <f t="shared" si="84"/>
        <v>0.05</v>
      </c>
      <c r="V41" s="8">
        <f t="shared" si="84"/>
        <v>0.05</v>
      </c>
      <c r="W41" s="8">
        <f t="shared" si="84"/>
        <v>0.05</v>
      </c>
      <c r="Y41" s="8">
        <f t="shared" ref="Y41" si="85">Y23/Y21</f>
        <v>0</v>
      </c>
      <c r="Z41" s="8">
        <f t="shared" ref="Z41:AP41" si="86">Z23/Z21</f>
        <v>0</v>
      </c>
      <c r="AA41" s="8">
        <f t="shared" si="86"/>
        <v>0</v>
      </c>
      <c r="AB41" s="8">
        <f t="shared" si="86"/>
        <v>0</v>
      </c>
      <c r="AC41" s="8">
        <f t="shared" si="86"/>
        <v>3.8619979402677651E-4</v>
      </c>
      <c r="AD41" s="8">
        <f t="shared" si="86"/>
        <v>-1.3565891472868217E-2</v>
      </c>
      <c r="AE41" s="8">
        <f t="shared" si="86"/>
        <v>4.2551293487957179E-2</v>
      </c>
      <c r="AF41" s="8">
        <f t="shared" si="86"/>
        <v>6.644490024151585E-2</v>
      </c>
      <c r="AG41" s="8">
        <f t="shared" si="86"/>
        <v>0.03</v>
      </c>
      <c r="AH41" s="8">
        <f t="shared" si="86"/>
        <v>0.03</v>
      </c>
      <c r="AI41" s="8">
        <f t="shared" si="86"/>
        <v>3.0000000000000002E-2</v>
      </c>
      <c r="AJ41" s="8">
        <f t="shared" si="86"/>
        <v>0.03</v>
      </c>
      <c r="AK41" s="8">
        <f t="shared" si="86"/>
        <v>0.03</v>
      </c>
      <c r="AL41" s="8">
        <f t="shared" si="86"/>
        <v>0.03</v>
      </c>
      <c r="AM41" s="8">
        <f t="shared" si="86"/>
        <v>0.03</v>
      </c>
      <c r="AN41" s="8">
        <f t="shared" si="86"/>
        <v>0.03</v>
      </c>
      <c r="AO41" s="8">
        <f t="shared" si="86"/>
        <v>2.9999999999999995E-2</v>
      </c>
      <c r="AP41" s="8">
        <f t="shared" si="86"/>
        <v>0.03</v>
      </c>
      <c r="AR41" t="s">
        <v>53</v>
      </c>
      <c r="AS41" s="2">
        <f>AS39+AS40</f>
        <v>54528.04604405124</v>
      </c>
    </row>
    <row r="42" spans="2:45" x14ac:dyDescent="0.3">
      <c r="B42" t="s">
        <v>48</v>
      </c>
      <c r="C42" s="8">
        <f t="shared" ref="C42:F42" si="87">C24/C11</f>
        <v>0.29317248973871257</v>
      </c>
      <c r="D42" s="8">
        <f t="shared" si="87"/>
        <v>0.17084328775479082</v>
      </c>
      <c r="E42" s="8">
        <f t="shared" si="87"/>
        <v>0.25780653048749425</v>
      </c>
      <c r="F42" s="8">
        <f t="shared" si="87"/>
        <v>0.35551271363067943</v>
      </c>
      <c r="G42" s="8">
        <f>G24/G11</f>
        <v>0.2252045985970382</v>
      </c>
      <c r="H42" s="8">
        <f t="shared" ref="H42:S42" si="88">H24/H11</f>
        <v>0.44205307034272329</v>
      </c>
      <c r="I42" s="8">
        <f t="shared" si="88"/>
        <v>-2.9632530513674041E-2</v>
      </c>
      <c r="J42" s="8">
        <f t="shared" si="88"/>
        <v>6.643630199504498E-2</v>
      </c>
      <c r="K42" s="8">
        <f t="shared" si="88"/>
        <v>-4.7286711294687367E-2</v>
      </c>
      <c r="L42" s="8">
        <f t="shared" si="88"/>
        <v>-0.23542466922748612</v>
      </c>
      <c r="M42" s="8">
        <f t="shared" si="88"/>
        <v>0.114371766159549</v>
      </c>
      <c r="N42" s="8">
        <f t="shared" si="88"/>
        <v>2.097753920045204E-2</v>
      </c>
      <c r="O42" s="8">
        <f t="shared" si="88"/>
        <v>0.19076982993638841</v>
      </c>
      <c r="P42" s="8">
        <f t="shared" si="88"/>
        <v>-2.9943414020748193E-2</v>
      </c>
      <c r="Q42" s="8">
        <f t="shared" si="88"/>
        <v>-0.12545780409880777</v>
      </c>
      <c r="R42" s="8">
        <f t="shared" si="88"/>
        <v>-1.2525594700391449</v>
      </c>
      <c r="S42" s="8">
        <f t="shared" si="88"/>
        <v>-8.8359046283309952E-3</v>
      </c>
      <c r="T42" s="8">
        <f t="shared" ref="T42:W42" si="89">T24/T11</f>
        <v>-6.4814083839898951E-2</v>
      </c>
      <c r="U42" s="8">
        <f t="shared" si="89"/>
        <v>-6.0983963800109807E-2</v>
      </c>
      <c r="V42" s="8">
        <f t="shared" si="89"/>
        <v>-3.088144101927132E-2</v>
      </c>
      <c r="W42" s="8">
        <f t="shared" si="89"/>
        <v>-7.5765604892931195E-3</v>
      </c>
      <c r="Y42" s="8">
        <f t="shared" ref="Y42" si="90">Y24/Y11</f>
        <v>0.29715729448961159</v>
      </c>
      <c r="Z42" s="8">
        <f t="shared" ref="Z42:AP42" si="91">Z24/Z11</f>
        <v>0.2924755089279511</v>
      </c>
      <c r="AA42" s="8">
        <f t="shared" si="91"/>
        <v>0.26839354283586114</v>
      </c>
      <c r="AB42" s="8">
        <f t="shared" si="91"/>
        <v>0.25141729094958493</v>
      </c>
      <c r="AC42" s="8">
        <f t="shared" si="91"/>
        <v>0.1270974085704317</v>
      </c>
      <c r="AD42" s="8">
        <f t="shared" si="91"/>
        <v>3.6125248948882499E-2</v>
      </c>
      <c r="AE42" s="8">
        <f t="shared" si="91"/>
        <v>-0.35321368712453627</v>
      </c>
      <c r="AF42" s="8">
        <f t="shared" si="91"/>
        <v>-4.0052163739704369E-2</v>
      </c>
      <c r="AG42" s="8">
        <f t="shared" si="91"/>
        <v>1.2895661022947319E-2</v>
      </c>
      <c r="AH42" s="8">
        <f t="shared" si="91"/>
        <v>4.3269850215689569E-2</v>
      </c>
      <c r="AI42" s="8">
        <f t="shared" si="91"/>
        <v>5.3348447675637775E-2</v>
      </c>
      <c r="AJ42" s="8">
        <f t="shared" si="91"/>
        <v>6.05155461562394E-2</v>
      </c>
      <c r="AK42" s="8">
        <f t="shared" si="91"/>
        <v>6.5044727275186537E-2</v>
      </c>
      <c r="AL42" s="8">
        <f t="shared" si="91"/>
        <v>6.9924741165634421E-2</v>
      </c>
      <c r="AM42" s="8">
        <f t="shared" si="91"/>
        <v>7.4636103540278484E-2</v>
      </c>
      <c r="AN42" s="8">
        <f t="shared" si="91"/>
        <v>7.9204755259014145E-2</v>
      </c>
      <c r="AO42" s="8">
        <f t="shared" si="91"/>
        <v>8.3648949874964851E-2</v>
      </c>
      <c r="AP42" s="8">
        <f t="shared" si="91"/>
        <v>8.7981698359513652E-2</v>
      </c>
      <c r="AR42" t="s">
        <v>54</v>
      </c>
      <c r="AS42" s="9">
        <f>AS41/AP25</f>
        <v>12.55538706977924</v>
      </c>
    </row>
    <row r="43" spans="2:45" x14ac:dyDescent="0.3">
      <c r="AR43" t="s">
        <v>55</v>
      </c>
      <c r="AS43" s="9">
        <f>Main!D3</f>
        <v>20.14</v>
      </c>
    </row>
    <row r="44" spans="2:45" s="1" customFormat="1" x14ac:dyDescent="0.3">
      <c r="B44" s="1" t="s">
        <v>52</v>
      </c>
      <c r="K44" s="7">
        <f>K45+K46+K52-K60-K64</f>
        <v>-7518</v>
      </c>
      <c r="O44" s="7">
        <f>O45+O46+O52-O60-O64</f>
        <v>-18403</v>
      </c>
      <c r="Q44" s="7">
        <f>Q45+Q46+Q52-Q60-Q64</f>
        <v>-15888</v>
      </c>
      <c r="R44" s="7">
        <f>R45+R46+R52-R60-R64</f>
        <v>-20654</v>
      </c>
      <c r="AC44" s="7">
        <f>AC45+AC46+AC52-AC60-AC64</f>
        <v>-7518</v>
      </c>
      <c r="AD44" s="7">
        <f>AD45+AD46+AD52-AD60-AD64</f>
        <v>-18403</v>
      </c>
      <c r="AR44" s="1" t="s">
        <v>56</v>
      </c>
      <c r="AS44" s="10">
        <f>AS42/AS43-1</f>
        <v>-0.37659448511523141</v>
      </c>
    </row>
    <row r="45" spans="2:45" x14ac:dyDescent="0.3">
      <c r="B45" t="s">
        <v>4</v>
      </c>
      <c r="K45" s="2">
        <v>11144</v>
      </c>
      <c r="O45" s="2">
        <v>7079</v>
      </c>
      <c r="Q45" s="2">
        <v>11287</v>
      </c>
      <c r="R45" s="2">
        <v>8785</v>
      </c>
      <c r="AC45" s="2">
        <v>11144</v>
      </c>
      <c r="AD45" s="2">
        <v>7079</v>
      </c>
      <c r="AR45" t="s">
        <v>57</v>
      </c>
      <c r="AS45" s="13" t="s">
        <v>107</v>
      </c>
    </row>
    <row r="46" spans="2:45" x14ac:dyDescent="0.3">
      <c r="B46" t="s">
        <v>58</v>
      </c>
      <c r="K46" s="2">
        <v>17194</v>
      </c>
      <c r="O46" s="2">
        <v>17955</v>
      </c>
      <c r="Q46" s="2">
        <v>17986</v>
      </c>
      <c r="R46" s="2">
        <v>15301</v>
      </c>
      <c r="AC46" s="2">
        <v>17194</v>
      </c>
      <c r="AD46" s="2">
        <v>17955</v>
      </c>
    </row>
    <row r="47" spans="2:45" x14ac:dyDescent="0.3">
      <c r="B47" t="s">
        <v>59</v>
      </c>
      <c r="K47" s="2">
        <v>4133</v>
      </c>
      <c r="O47" s="2">
        <v>3402</v>
      </c>
      <c r="Q47" s="2">
        <v>3131</v>
      </c>
      <c r="R47" s="2">
        <v>3121</v>
      </c>
      <c r="AC47" s="2">
        <v>4133</v>
      </c>
      <c r="AD47" s="2">
        <v>3402</v>
      </c>
    </row>
    <row r="48" spans="2:45" x14ac:dyDescent="0.3">
      <c r="B48" t="s">
        <v>60</v>
      </c>
      <c r="K48" s="2">
        <v>13224</v>
      </c>
      <c r="O48" s="2">
        <v>11127</v>
      </c>
      <c r="Q48" s="2">
        <v>11244</v>
      </c>
      <c r="R48" s="2">
        <v>12062</v>
      </c>
      <c r="AC48" s="2">
        <v>13224</v>
      </c>
      <c r="AD48" s="2">
        <v>11127</v>
      </c>
    </row>
    <row r="49" spans="2:30" x14ac:dyDescent="0.3">
      <c r="B49" t="s">
        <v>61</v>
      </c>
      <c r="K49" s="2">
        <v>4712</v>
      </c>
      <c r="O49" s="2">
        <v>3706</v>
      </c>
      <c r="Q49" s="2">
        <v>7181</v>
      </c>
      <c r="R49" s="2">
        <v>6868</v>
      </c>
      <c r="AC49" s="2">
        <v>4712</v>
      </c>
      <c r="AD49" s="2">
        <v>3706</v>
      </c>
    </row>
    <row r="50" spans="2:30" s="1" customFormat="1" x14ac:dyDescent="0.3">
      <c r="B50" s="1" t="s">
        <v>62</v>
      </c>
      <c r="K50" s="7">
        <f>SUM(K45:K49)</f>
        <v>50407</v>
      </c>
      <c r="O50" s="7">
        <f>SUM(O45:O49)</f>
        <v>43269</v>
      </c>
      <c r="Q50" s="7">
        <f>SUM(Q45:Q49)</f>
        <v>50829</v>
      </c>
      <c r="R50" s="7">
        <f>SUM(R45:R49)</f>
        <v>46137</v>
      </c>
      <c r="AC50" s="7">
        <f>SUM(AC45:AC49)</f>
        <v>50407</v>
      </c>
      <c r="AD50" s="7">
        <f>SUM(AD45:AD49)</f>
        <v>43269</v>
      </c>
    </row>
    <row r="51" spans="2:30" x14ac:dyDescent="0.3">
      <c r="B51" t="s">
        <v>63</v>
      </c>
      <c r="K51" s="2">
        <v>80860</v>
      </c>
      <c r="O51" s="2">
        <v>96647</v>
      </c>
      <c r="Q51" s="2">
        <v>103398</v>
      </c>
      <c r="R51" s="2">
        <v>104248</v>
      </c>
      <c r="AC51" s="2">
        <v>80860</v>
      </c>
      <c r="AD51" s="2">
        <v>96647</v>
      </c>
    </row>
    <row r="52" spans="2:30" x14ac:dyDescent="0.3">
      <c r="B52" t="s">
        <v>58</v>
      </c>
      <c r="K52" s="2">
        <v>5912</v>
      </c>
      <c r="O52" s="2">
        <v>5829</v>
      </c>
      <c r="Q52" s="2">
        <v>5824</v>
      </c>
      <c r="R52" s="2">
        <v>5496</v>
      </c>
      <c r="AC52" s="2">
        <v>5912</v>
      </c>
      <c r="AD52" s="2">
        <v>5829</v>
      </c>
    </row>
    <row r="53" spans="2:30" x14ac:dyDescent="0.3">
      <c r="B53" t="s">
        <v>64</v>
      </c>
      <c r="K53" s="2">
        <v>27591</v>
      </c>
      <c r="O53" s="2">
        <v>27591</v>
      </c>
      <c r="Q53" s="2">
        <v>27442</v>
      </c>
      <c r="R53" s="2">
        <v>24680</v>
      </c>
      <c r="AC53" s="2">
        <v>27591</v>
      </c>
      <c r="AD53" s="2">
        <v>27591</v>
      </c>
    </row>
    <row r="54" spans="2:30" x14ac:dyDescent="0.3">
      <c r="B54" t="s">
        <v>65</v>
      </c>
      <c r="K54" s="2">
        <v>6018</v>
      </c>
      <c r="O54" s="2">
        <v>4589</v>
      </c>
      <c r="Q54" s="2">
        <v>4383</v>
      </c>
      <c r="R54" s="2">
        <v>3975</v>
      </c>
      <c r="AC54" s="2">
        <v>6018</v>
      </c>
      <c r="AD54" s="2">
        <v>4589</v>
      </c>
    </row>
    <row r="55" spans="2:30" x14ac:dyDescent="0.3">
      <c r="B55" t="s">
        <v>66</v>
      </c>
      <c r="K55" s="2">
        <v>11315</v>
      </c>
      <c r="O55" s="2">
        <v>13647</v>
      </c>
      <c r="Q55" s="2">
        <v>14329</v>
      </c>
      <c r="R55" s="2">
        <v>9006</v>
      </c>
      <c r="AC55" s="2">
        <v>11315</v>
      </c>
      <c r="AD55" s="2">
        <v>13647</v>
      </c>
    </row>
    <row r="56" spans="2:30" s="1" customFormat="1" x14ac:dyDescent="0.3">
      <c r="B56" s="1" t="s">
        <v>67</v>
      </c>
      <c r="K56" s="7">
        <f>SUM(K51:K55)</f>
        <v>131696</v>
      </c>
      <c r="O56" s="7">
        <f>SUM(O51:O55)</f>
        <v>148303</v>
      </c>
      <c r="Q56" s="7">
        <f>SUM(Q51:Q55)</f>
        <v>155376</v>
      </c>
      <c r="R56" s="7">
        <f>SUM(R51:R55)</f>
        <v>147405</v>
      </c>
      <c r="AC56" s="7">
        <f>SUM(AC51:AC55)</f>
        <v>131696</v>
      </c>
      <c r="AD56" s="7">
        <f>SUM(AD51:AD55)</f>
        <v>148303</v>
      </c>
    </row>
    <row r="57" spans="2:30" s="1" customFormat="1" x14ac:dyDescent="0.3">
      <c r="B57" s="1" t="s">
        <v>68</v>
      </c>
      <c r="K57" s="7">
        <f>K50+K56</f>
        <v>182103</v>
      </c>
      <c r="O57" s="7">
        <f>O50+O56</f>
        <v>191572</v>
      </c>
      <c r="Q57" s="7">
        <f>Q50+Q56</f>
        <v>206205</v>
      </c>
      <c r="R57" s="7">
        <f>R50+R56</f>
        <v>193542</v>
      </c>
      <c r="AC57" s="7">
        <f>AC50+AC56</f>
        <v>182103</v>
      </c>
      <c r="AD57" s="7">
        <f>AD50+AD56</f>
        <v>191572</v>
      </c>
    </row>
    <row r="58" spans="2:30" x14ac:dyDescent="0.3">
      <c r="B58" t="s">
        <v>69</v>
      </c>
      <c r="K58" s="2">
        <v>4367</v>
      </c>
      <c r="O58" s="2">
        <v>8578</v>
      </c>
      <c r="Q58" s="2">
        <v>4695</v>
      </c>
      <c r="R58" s="2">
        <v>11074</v>
      </c>
      <c r="AC58" s="2">
        <v>4367</v>
      </c>
      <c r="AD58" s="2">
        <v>8578</v>
      </c>
    </row>
    <row r="59" spans="2:30" x14ac:dyDescent="0.3">
      <c r="B59" t="s">
        <v>70</v>
      </c>
      <c r="K59" s="2">
        <v>9595</v>
      </c>
      <c r="O59" s="2">
        <v>3655</v>
      </c>
      <c r="Q59" s="2">
        <v>9618</v>
      </c>
      <c r="R59" s="2">
        <v>5015</v>
      </c>
      <c r="AC59" s="2">
        <v>9595</v>
      </c>
      <c r="AD59" s="2">
        <v>3655</v>
      </c>
    </row>
    <row r="60" spans="2:30" x14ac:dyDescent="0.3">
      <c r="B60" t="s">
        <v>5</v>
      </c>
      <c r="K60" s="2">
        <v>4084</v>
      </c>
      <c r="O60" s="2">
        <v>2288</v>
      </c>
      <c r="Q60" s="2">
        <v>2651</v>
      </c>
      <c r="R60" s="2">
        <v>3765</v>
      </c>
      <c r="AC60" s="2">
        <v>4084</v>
      </c>
      <c r="AD60" s="2">
        <v>2288</v>
      </c>
    </row>
    <row r="61" spans="2:30" x14ac:dyDescent="0.3">
      <c r="B61" t="s">
        <v>29</v>
      </c>
      <c r="K61" s="2">
        <v>2251</v>
      </c>
      <c r="O61" s="2">
        <v>1107</v>
      </c>
      <c r="Q61" s="2">
        <v>1856</v>
      </c>
      <c r="R61" s="2">
        <v>2440</v>
      </c>
      <c r="AC61" s="2">
        <v>2251</v>
      </c>
      <c r="AD61" s="2">
        <v>1107</v>
      </c>
    </row>
    <row r="62" spans="2:30" x14ac:dyDescent="0.3">
      <c r="B62" t="s">
        <v>71</v>
      </c>
      <c r="K62" s="2">
        <v>11858</v>
      </c>
      <c r="O62" s="2">
        <v>12425</v>
      </c>
      <c r="Q62" s="2">
        <v>13207</v>
      </c>
      <c r="R62" s="2">
        <v>12865</v>
      </c>
      <c r="AC62" s="2">
        <v>11858</v>
      </c>
      <c r="AD62" s="2">
        <v>12425</v>
      </c>
    </row>
    <row r="63" spans="2:30" s="1" customFormat="1" x14ac:dyDescent="0.3">
      <c r="B63" s="1" t="s">
        <v>72</v>
      </c>
      <c r="K63" s="7">
        <f>SUM(K58:K62)</f>
        <v>32155</v>
      </c>
      <c r="O63" s="7">
        <f>SUM(O58:O62)</f>
        <v>28053</v>
      </c>
      <c r="Q63" s="7">
        <f>SUM(Q58:Q62)</f>
        <v>32027</v>
      </c>
      <c r="R63" s="7">
        <f>SUM(R58:R62)</f>
        <v>35159</v>
      </c>
      <c r="AC63" s="7">
        <f>SUM(AC58:AC62)</f>
        <v>32155</v>
      </c>
      <c r="AD63" s="7">
        <f>SUM(AD58:AD62)</f>
        <v>28053</v>
      </c>
    </row>
    <row r="64" spans="2:30" x14ac:dyDescent="0.3">
      <c r="B64" t="s">
        <v>5</v>
      </c>
      <c r="K64" s="2">
        <v>37684</v>
      </c>
      <c r="O64" s="2">
        <v>46978</v>
      </c>
      <c r="Q64" s="2">
        <v>48334</v>
      </c>
      <c r="R64" s="2">
        <v>46471</v>
      </c>
      <c r="AC64" s="2">
        <v>37684</v>
      </c>
      <c r="AD64" s="2">
        <v>46978</v>
      </c>
    </row>
    <row r="65" spans="2:42" x14ac:dyDescent="0.3">
      <c r="B65" t="s">
        <v>73</v>
      </c>
      <c r="K65" s="2">
        <v>8978</v>
      </c>
      <c r="O65" s="2">
        <v>6576</v>
      </c>
      <c r="Q65" s="2">
        <v>5410</v>
      </c>
      <c r="R65" s="2">
        <v>7048</v>
      </c>
      <c r="AC65" s="2">
        <v>8978</v>
      </c>
      <c r="AD65" s="2">
        <v>6576</v>
      </c>
    </row>
    <row r="66" spans="2:42" s="1" customFormat="1" x14ac:dyDescent="0.3">
      <c r="B66" s="1" t="s">
        <v>74</v>
      </c>
      <c r="K66" s="7">
        <f>SUM(K64:K65)</f>
        <v>46662</v>
      </c>
      <c r="O66" s="7">
        <f>SUM(O64:O65)</f>
        <v>53554</v>
      </c>
      <c r="Q66" s="7">
        <f>SUM(Q64:Q65)</f>
        <v>53744</v>
      </c>
      <c r="R66" s="7">
        <f>SUM(R64:R65)</f>
        <v>53519</v>
      </c>
      <c r="AC66" s="7">
        <f>SUM(AC64:AC65)</f>
        <v>46662</v>
      </c>
      <c r="AD66" s="7">
        <f>SUM(AD64:AD65)</f>
        <v>53554</v>
      </c>
    </row>
    <row r="67" spans="2:42" s="1" customFormat="1" x14ac:dyDescent="0.3">
      <c r="B67" s="1" t="s">
        <v>75</v>
      </c>
      <c r="K67" s="7">
        <f>101423+1863</f>
        <v>103286</v>
      </c>
      <c r="O67" s="7">
        <f>105590+4375</f>
        <v>109965</v>
      </c>
      <c r="Q67" s="7">
        <f>115229+5205</f>
        <v>120434</v>
      </c>
      <c r="R67" s="7">
        <f>99532+5332</f>
        <v>104864</v>
      </c>
      <c r="AC67" s="7">
        <f>101423+1863</f>
        <v>103286</v>
      </c>
      <c r="AD67" s="7">
        <f>105590+4375</f>
        <v>109965</v>
      </c>
    </row>
    <row r="68" spans="2:42" s="1" customFormat="1" x14ac:dyDescent="0.3">
      <c r="B68" s="1" t="s">
        <v>76</v>
      </c>
      <c r="K68" s="7">
        <f>K63+K66+K67</f>
        <v>182103</v>
      </c>
      <c r="O68" s="7">
        <f>O63+O66+O67</f>
        <v>191572</v>
      </c>
      <c r="Q68" s="7">
        <f>Q63+Q66+Q67</f>
        <v>206205</v>
      </c>
      <c r="R68" s="7">
        <f>R63+R66+R67</f>
        <v>193542</v>
      </c>
      <c r="AC68" s="7">
        <f>AC63+AC66+AC67</f>
        <v>182103</v>
      </c>
      <c r="AD68" s="7">
        <f>AD63+AD66+AD67</f>
        <v>191572</v>
      </c>
    </row>
    <row r="70" spans="2:42" s="1" customFormat="1" x14ac:dyDescent="0.3">
      <c r="B70" s="1" t="s">
        <v>31</v>
      </c>
      <c r="L70" s="7">
        <f t="shared" ref="L70:T70" si="92">L24</f>
        <v>-2758</v>
      </c>
      <c r="M70" s="7">
        <f t="shared" si="92"/>
        <v>1481</v>
      </c>
      <c r="N70" s="7">
        <f t="shared" si="92"/>
        <v>297</v>
      </c>
      <c r="O70" s="7">
        <f t="shared" si="92"/>
        <v>2939</v>
      </c>
      <c r="P70" s="7">
        <f t="shared" si="92"/>
        <v>-381</v>
      </c>
      <c r="Q70" s="7">
        <f t="shared" si="92"/>
        <v>-1610</v>
      </c>
      <c r="R70" s="7">
        <f t="shared" si="92"/>
        <v>-16639</v>
      </c>
      <c r="S70" s="7">
        <f t="shared" si="92"/>
        <v>-126</v>
      </c>
      <c r="T70" s="7">
        <f t="shared" si="92"/>
        <v>-821</v>
      </c>
      <c r="U70" s="7"/>
      <c r="V70" s="7"/>
      <c r="W70" s="7"/>
      <c r="AC70" s="7">
        <f>AC24</f>
        <v>8014</v>
      </c>
      <c r="AD70" s="7">
        <f>AD24</f>
        <v>1959</v>
      </c>
      <c r="AE70" s="7">
        <f>AE24</f>
        <v>-18756</v>
      </c>
      <c r="AF70" s="7">
        <f>AF24</f>
        <v>-2055.2711750000058</v>
      </c>
      <c r="AG70" s="7">
        <f t="shared" ref="AG70:AP70" si="93">AG24</f>
        <v>727.91294399999822</v>
      </c>
      <c r="AH70" s="7">
        <f t="shared" si="93"/>
        <v>2613.394682207997</v>
      </c>
      <c r="AI70" s="7">
        <f t="shared" si="93"/>
        <v>3383.2235656655957</v>
      </c>
      <c r="AJ70" s="7">
        <f t="shared" si="93"/>
        <v>3991.252529282975</v>
      </c>
      <c r="AK70" s="7">
        <f t="shared" si="93"/>
        <v>4418.6700311825252</v>
      </c>
      <c r="AL70" s="7">
        <f t="shared" si="93"/>
        <v>4892.6884976730762</v>
      </c>
      <c r="AM70" s="7">
        <f t="shared" si="93"/>
        <v>5379.0165711273321</v>
      </c>
      <c r="AN70" s="7">
        <f t="shared" si="93"/>
        <v>5879.5272122561028</v>
      </c>
      <c r="AO70" s="7">
        <f t="shared" si="93"/>
        <v>6395.7115165865716</v>
      </c>
      <c r="AP70" s="7">
        <f t="shared" si="93"/>
        <v>6928.7986179926265</v>
      </c>
    </row>
    <row r="71" spans="2:42" x14ac:dyDescent="0.3">
      <c r="B71" t="s">
        <v>77</v>
      </c>
      <c r="L71" s="2">
        <v>1901</v>
      </c>
      <c r="M71" s="2">
        <f t="shared" ref="M71:M83" si="94">M91-L71</f>
        <v>1832</v>
      </c>
      <c r="N71" s="2">
        <f t="shared" ref="N71:N83" si="95">N91-M71-L71</f>
        <v>2020</v>
      </c>
      <c r="O71" s="2">
        <f>AD71-N71-M71-L71</f>
        <v>2094</v>
      </c>
      <c r="P71" s="2">
        <v>2200</v>
      </c>
      <c r="Q71" s="2">
        <f t="shared" ref="Q71:Q83" si="96">Q91-P71</f>
        <v>2203</v>
      </c>
      <c r="R71" s="2">
        <f t="shared" ref="R71:R83" si="97">R91-Q71-P71</f>
        <v>3248</v>
      </c>
      <c r="S71" s="2">
        <f>AE71-R71-Q71-P71</f>
        <v>2300</v>
      </c>
      <c r="T71" s="2">
        <v>2425</v>
      </c>
      <c r="U71" s="2"/>
      <c r="V71" s="2"/>
      <c r="W71" s="2"/>
      <c r="AC71" s="2">
        <v>11128</v>
      </c>
      <c r="AD71" s="2">
        <v>7847</v>
      </c>
      <c r="AE71" s="2">
        <v>9951</v>
      </c>
      <c r="AF71" s="2">
        <v>9200</v>
      </c>
      <c r="AG71" s="2">
        <f>AF71*1.01</f>
        <v>9292</v>
      </c>
      <c r="AH71" s="2">
        <f t="shared" ref="AH71:AP71" si="98">AG71*1.01</f>
        <v>9384.92</v>
      </c>
      <c r="AI71" s="2">
        <f t="shared" si="98"/>
        <v>9478.7692000000006</v>
      </c>
      <c r="AJ71" s="2">
        <f t="shared" si="98"/>
        <v>9573.5568920000005</v>
      </c>
      <c r="AK71" s="2">
        <f t="shared" si="98"/>
        <v>9669.2924609199999</v>
      </c>
      <c r="AL71" s="2">
        <f t="shared" si="98"/>
        <v>9765.9853855292004</v>
      </c>
      <c r="AM71" s="2">
        <f t="shared" si="98"/>
        <v>9863.645239384492</v>
      </c>
      <c r="AN71" s="2">
        <f t="shared" si="98"/>
        <v>9962.2816917783366</v>
      </c>
      <c r="AO71" s="2">
        <f t="shared" si="98"/>
        <v>10061.90450869612</v>
      </c>
      <c r="AP71" s="2">
        <f t="shared" si="98"/>
        <v>10162.523553783081</v>
      </c>
    </row>
    <row r="72" spans="2:42" x14ac:dyDescent="0.3">
      <c r="B72" t="s">
        <v>78</v>
      </c>
      <c r="L72" s="2">
        <v>739</v>
      </c>
      <c r="M72" s="2">
        <f t="shared" si="94"/>
        <v>922</v>
      </c>
      <c r="N72" s="2">
        <f t="shared" si="95"/>
        <v>772</v>
      </c>
      <c r="O72" s="2">
        <f t="shared" ref="O72:O83" si="99">AD72-N72-M72-L72</f>
        <v>796</v>
      </c>
      <c r="P72" s="2">
        <v>1179</v>
      </c>
      <c r="Q72" s="2">
        <f t="shared" si="96"/>
        <v>780</v>
      </c>
      <c r="R72" s="2">
        <f t="shared" si="97"/>
        <v>800</v>
      </c>
      <c r="S72" s="2">
        <f t="shared" ref="S72:S85" si="100">AE72-R72-Q72-P72</f>
        <v>651</v>
      </c>
      <c r="T72" s="2">
        <v>684</v>
      </c>
      <c r="U72" s="2"/>
      <c r="V72" s="2"/>
      <c r="W72" s="2"/>
      <c r="AC72" s="2">
        <v>3128</v>
      </c>
      <c r="AD72" s="2">
        <v>3229</v>
      </c>
      <c r="AE72" s="2">
        <v>3410</v>
      </c>
      <c r="AF72" s="2">
        <v>2800</v>
      </c>
      <c r="AG72" s="2">
        <f>AF72*1.01</f>
        <v>2828</v>
      </c>
      <c r="AH72" s="2">
        <f t="shared" ref="AH72:AP72" si="101">AG72*1.01</f>
        <v>2856.28</v>
      </c>
      <c r="AI72" s="2">
        <f t="shared" si="101"/>
        <v>2884.8428000000004</v>
      </c>
      <c r="AJ72" s="2">
        <f t="shared" si="101"/>
        <v>2913.6912280000006</v>
      </c>
      <c r="AK72" s="2">
        <f t="shared" si="101"/>
        <v>2942.8281402800008</v>
      </c>
      <c r="AL72" s="2">
        <f t="shared" si="101"/>
        <v>2972.2564216828009</v>
      </c>
      <c r="AM72" s="2">
        <f t="shared" si="101"/>
        <v>3001.9789858996292</v>
      </c>
      <c r="AN72" s="2">
        <f t="shared" si="101"/>
        <v>3031.9987757586255</v>
      </c>
      <c r="AO72" s="2">
        <f t="shared" si="101"/>
        <v>3062.3187635162117</v>
      </c>
      <c r="AP72" s="2">
        <f t="shared" si="101"/>
        <v>3092.9419511513738</v>
      </c>
    </row>
    <row r="73" spans="2:42" x14ac:dyDescent="0.3">
      <c r="B73" t="s">
        <v>24</v>
      </c>
      <c r="L73" s="2">
        <v>55</v>
      </c>
      <c r="M73" s="2">
        <f t="shared" si="94"/>
        <v>200</v>
      </c>
      <c r="N73" s="2">
        <f t="shared" si="95"/>
        <v>463</v>
      </c>
      <c r="O73" s="2">
        <f t="shared" si="99"/>
        <v>-1142</v>
      </c>
      <c r="P73" s="2">
        <v>348</v>
      </c>
      <c r="Q73" s="2">
        <f t="shared" si="96"/>
        <v>943</v>
      </c>
      <c r="R73" s="2">
        <f t="shared" si="97"/>
        <v>2335</v>
      </c>
      <c r="S73" s="2">
        <f t="shared" si="100"/>
        <v>-135</v>
      </c>
      <c r="T73" s="2">
        <v>0</v>
      </c>
      <c r="U73" s="2"/>
      <c r="V73" s="2"/>
      <c r="W73" s="2"/>
      <c r="AC73" s="2">
        <v>1074</v>
      </c>
      <c r="AD73" s="2">
        <v>-424</v>
      </c>
      <c r="AE73" s="2">
        <v>3491</v>
      </c>
      <c r="AF73" s="2">
        <f>AF16</f>
        <v>406</v>
      </c>
      <c r="AG73" s="2">
        <f t="shared" ref="AG73:AP73" si="102">AG16</f>
        <v>284.2</v>
      </c>
      <c r="AH73" s="2">
        <f t="shared" si="102"/>
        <v>198.93999999999997</v>
      </c>
      <c r="AI73" s="2">
        <f t="shared" si="102"/>
        <v>139.25799999999998</v>
      </c>
      <c r="AJ73" s="2">
        <f t="shared" si="102"/>
        <v>97.480599999999981</v>
      </c>
      <c r="AK73" s="2">
        <f t="shared" si="102"/>
        <v>68.236419999999981</v>
      </c>
      <c r="AL73" s="2">
        <f t="shared" si="102"/>
        <v>47.765493999999983</v>
      </c>
      <c r="AM73" s="2">
        <f t="shared" si="102"/>
        <v>33.435845799999989</v>
      </c>
      <c r="AN73" s="2">
        <f t="shared" si="102"/>
        <v>23.405092059999991</v>
      </c>
      <c r="AO73" s="2">
        <f t="shared" si="102"/>
        <v>16.383564441999994</v>
      </c>
      <c r="AP73" s="2">
        <f t="shared" si="102"/>
        <v>11.468495109399996</v>
      </c>
    </row>
    <row r="74" spans="2:42" x14ac:dyDescent="0.3">
      <c r="B74" t="s">
        <v>79</v>
      </c>
      <c r="L74" s="2">
        <v>465</v>
      </c>
      <c r="M74" s="2">
        <f t="shared" si="94"/>
        <v>444</v>
      </c>
      <c r="N74" s="2">
        <f t="shared" si="95"/>
        <v>427</v>
      </c>
      <c r="O74" s="2">
        <f t="shared" si="99"/>
        <v>419</v>
      </c>
      <c r="P74" s="2">
        <v>351</v>
      </c>
      <c r="Q74" s="2">
        <f t="shared" si="96"/>
        <v>366</v>
      </c>
      <c r="R74" s="2">
        <f t="shared" si="97"/>
        <v>364</v>
      </c>
      <c r="S74" s="2">
        <f t="shared" si="100"/>
        <v>347</v>
      </c>
      <c r="T74" s="2">
        <v>249</v>
      </c>
      <c r="U74" s="2"/>
      <c r="V74" s="2"/>
      <c r="W74" s="2"/>
      <c r="AC74" s="2">
        <v>1907</v>
      </c>
      <c r="AD74" s="2">
        <v>1755</v>
      </c>
      <c r="AE74" s="2">
        <v>1428</v>
      </c>
      <c r="AF74" s="2">
        <f>AE74*1.02</f>
        <v>1456.56</v>
      </c>
      <c r="AG74" s="2">
        <f t="shared" ref="AG74:AP74" si="103">AF74*1.02</f>
        <v>1485.6912</v>
      </c>
      <c r="AH74" s="2">
        <f t="shared" si="103"/>
        <v>1515.4050239999999</v>
      </c>
      <c r="AI74" s="2">
        <f t="shared" si="103"/>
        <v>1545.71312448</v>
      </c>
      <c r="AJ74" s="2">
        <f t="shared" si="103"/>
        <v>1576.6273869696001</v>
      </c>
      <c r="AK74" s="2">
        <f t="shared" si="103"/>
        <v>1608.1599347089921</v>
      </c>
      <c r="AL74" s="2">
        <f t="shared" si="103"/>
        <v>1640.3231334031721</v>
      </c>
      <c r="AM74" s="2">
        <f t="shared" si="103"/>
        <v>1673.1295960712355</v>
      </c>
      <c r="AN74" s="2">
        <f t="shared" si="103"/>
        <v>1706.5921879926602</v>
      </c>
      <c r="AO74" s="2">
        <f t="shared" si="103"/>
        <v>1740.7240317525134</v>
      </c>
      <c r="AP74" s="2">
        <f t="shared" si="103"/>
        <v>1775.5385123875637</v>
      </c>
    </row>
    <row r="75" spans="2:42" x14ac:dyDescent="0.3">
      <c r="B75" t="s">
        <v>58</v>
      </c>
      <c r="L75" s="2">
        <v>-167</v>
      </c>
      <c r="M75" s="2">
        <f t="shared" si="94"/>
        <v>21</v>
      </c>
      <c r="N75" s="2">
        <f t="shared" si="95"/>
        <v>193</v>
      </c>
      <c r="O75" s="2">
        <f t="shared" si="99"/>
        <v>-89</v>
      </c>
      <c r="P75" s="2">
        <v>-208</v>
      </c>
      <c r="Q75" s="2">
        <f t="shared" si="96"/>
        <v>124</v>
      </c>
      <c r="R75" s="2">
        <f t="shared" si="97"/>
        <v>159</v>
      </c>
      <c r="S75" s="2">
        <f t="shared" si="100"/>
        <v>-321</v>
      </c>
      <c r="T75" s="2">
        <v>112</v>
      </c>
      <c r="U75" s="2"/>
      <c r="V75" s="2"/>
      <c r="W75" s="2"/>
      <c r="AC75" s="2">
        <f>-4254-1059</f>
        <v>-5313</v>
      </c>
      <c r="AD75" s="2">
        <v>-42</v>
      </c>
      <c r="AE75" s="2">
        <v>-246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</row>
    <row r="76" spans="2:42" x14ac:dyDescent="0.3">
      <c r="B76" t="s">
        <v>80</v>
      </c>
      <c r="L76" s="2">
        <f t="shared" ref="L76" si="104">L96-K76</f>
        <v>0</v>
      </c>
      <c r="M76" s="2">
        <f t="shared" si="94"/>
        <v>0</v>
      </c>
      <c r="N76" s="2">
        <f t="shared" si="95"/>
        <v>-1376</v>
      </c>
      <c r="O76" s="2">
        <f t="shared" si="99"/>
        <v>1376</v>
      </c>
      <c r="P76" s="2">
        <v>0</v>
      </c>
      <c r="Q76" s="2">
        <f t="shared" si="96"/>
        <v>0</v>
      </c>
      <c r="R76" s="2">
        <f t="shared" si="97"/>
        <v>6368</v>
      </c>
      <c r="S76" s="2">
        <f t="shared" si="100"/>
        <v>-236</v>
      </c>
      <c r="T76" s="2">
        <v>19</v>
      </c>
      <c r="U76" s="2"/>
      <c r="V76" s="2"/>
      <c r="W76" s="2"/>
      <c r="AC76" s="2">
        <v>0</v>
      </c>
      <c r="AD76" s="2">
        <v>0</v>
      </c>
      <c r="AE76" s="2">
        <v>6132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</row>
    <row r="77" spans="2:42" x14ac:dyDescent="0.3">
      <c r="B77" t="s">
        <v>81</v>
      </c>
      <c r="L77" s="2">
        <f t="shared" ref="L77" si="105">L97-K77</f>
        <v>0</v>
      </c>
      <c r="M77" s="2">
        <f t="shared" si="94"/>
        <v>0</v>
      </c>
      <c r="N77" s="2">
        <f t="shared" si="95"/>
        <v>-87</v>
      </c>
      <c r="O77" s="2">
        <f t="shared" si="99"/>
        <v>87</v>
      </c>
      <c r="P77" s="2">
        <v>0</v>
      </c>
      <c r="Q77" s="2">
        <f t="shared" si="96"/>
        <v>0</v>
      </c>
      <c r="R77" s="2">
        <f t="shared" si="97"/>
        <v>2290</v>
      </c>
      <c r="S77" s="2">
        <f t="shared" si="100"/>
        <v>-38</v>
      </c>
      <c r="T77" s="2">
        <v>0</v>
      </c>
      <c r="U77" s="2"/>
      <c r="V77" s="2"/>
      <c r="W77" s="2"/>
      <c r="AC77" s="2">
        <v>0</v>
      </c>
      <c r="AD77" s="2">
        <v>0</v>
      </c>
      <c r="AE77" s="2">
        <v>2252</v>
      </c>
      <c r="AF77" s="2">
        <f>AE77*0.5</f>
        <v>1126</v>
      </c>
      <c r="AG77" s="2">
        <f t="shared" ref="AG77:AP77" si="106">AF77*0.5</f>
        <v>563</v>
      </c>
      <c r="AH77" s="2">
        <f t="shared" si="106"/>
        <v>281.5</v>
      </c>
      <c r="AI77" s="2">
        <f t="shared" si="106"/>
        <v>140.75</v>
      </c>
      <c r="AJ77" s="2">
        <f t="shared" si="106"/>
        <v>70.375</v>
      </c>
      <c r="AK77" s="2">
        <f t="shared" si="106"/>
        <v>35.1875</v>
      </c>
      <c r="AL77" s="2">
        <f t="shared" si="106"/>
        <v>17.59375</v>
      </c>
      <c r="AM77" s="2">
        <f t="shared" si="106"/>
        <v>8.796875</v>
      </c>
      <c r="AN77" s="2">
        <f t="shared" si="106"/>
        <v>4.3984375</v>
      </c>
      <c r="AO77" s="2">
        <f t="shared" si="106"/>
        <v>2.19921875</v>
      </c>
      <c r="AP77" s="2">
        <f t="shared" si="106"/>
        <v>1.099609375</v>
      </c>
    </row>
    <row r="78" spans="2:42" x14ac:dyDescent="0.3">
      <c r="B78" t="s">
        <v>59</v>
      </c>
      <c r="L78" s="2">
        <v>286</v>
      </c>
      <c r="M78" s="2">
        <f t="shared" si="94"/>
        <v>851</v>
      </c>
      <c r="N78" s="2">
        <f t="shared" si="95"/>
        <v>153</v>
      </c>
      <c r="O78" s="2">
        <f t="shared" si="99"/>
        <v>-559</v>
      </c>
      <c r="P78" s="2">
        <v>80</v>
      </c>
      <c r="Q78" s="2">
        <f t="shared" si="96"/>
        <v>192</v>
      </c>
      <c r="R78" s="2">
        <f t="shared" si="97"/>
        <v>10</v>
      </c>
      <c r="S78" s="2">
        <f t="shared" si="100"/>
        <v>-357</v>
      </c>
      <c r="T78" s="2">
        <v>414</v>
      </c>
      <c r="U78" s="2"/>
      <c r="V78" s="2"/>
      <c r="W78" s="2"/>
      <c r="AC78" s="2">
        <v>5327</v>
      </c>
      <c r="AD78" s="2">
        <v>731</v>
      </c>
      <c r="AE78" s="2">
        <v>-75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</row>
    <row r="79" spans="2:42" x14ac:dyDescent="0.3">
      <c r="B79" t="s">
        <v>60</v>
      </c>
      <c r="L79" s="2">
        <v>231</v>
      </c>
      <c r="M79" s="2">
        <f t="shared" si="94"/>
        <v>1009</v>
      </c>
      <c r="N79" s="2">
        <f t="shared" si="95"/>
        <v>518</v>
      </c>
      <c r="O79" s="2">
        <f t="shared" si="99"/>
        <v>339</v>
      </c>
      <c r="P79" s="2">
        <v>-366</v>
      </c>
      <c r="Q79" s="2">
        <f t="shared" si="96"/>
        <v>250</v>
      </c>
      <c r="R79" s="2">
        <f t="shared" si="97"/>
        <v>-853</v>
      </c>
      <c r="S79" s="2">
        <f t="shared" si="100"/>
        <v>-136</v>
      </c>
      <c r="T79" s="2">
        <v>-83</v>
      </c>
      <c r="U79" s="2"/>
      <c r="V79" s="2"/>
      <c r="W79" s="2"/>
      <c r="AC79" s="2">
        <v>-2436</v>
      </c>
      <c r="AD79" s="2">
        <v>2097</v>
      </c>
      <c r="AE79" s="2">
        <v>-1105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</row>
    <row r="80" spans="2:42" x14ac:dyDescent="0.3">
      <c r="B80" t="s">
        <v>69</v>
      </c>
      <c r="L80" s="2">
        <v>-771</v>
      </c>
      <c r="M80" s="2">
        <f t="shared" si="94"/>
        <v>-331</v>
      </c>
      <c r="N80" s="2">
        <f t="shared" si="95"/>
        <v>20</v>
      </c>
      <c r="O80" s="2">
        <f t="shared" si="99"/>
        <v>281</v>
      </c>
      <c r="P80" s="2">
        <v>-386</v>
      </c>
      <c r="Q80" s="2">
        <f t="shared" si="96"/>
        <v>570</v>
      </c>
      <c r="R80" s="2">
        <f t="shared" si="97"/>
        <v>382</v>
      </c>
      <c r="S80" s="2">
        <f t="shared" si="100"/>
        <v>68</v>
      </c>
      <c r="T80" s="2">
        <v>-240</v>
      </c>
      <c r="U80" s="2"/>
      <c r="V80" s="2"/>
      <c r="W80" s="2"/>
      <c r="AC80" s="2">
        <v>-29</v>
      </c>
      <c r="AD80" s="2">
        <v>-801</v>
      </c>
      <c r="AE80" s="2">
        <v>634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</row>
    <row r="81" spans="2:144" x14ac:dyDescent="0.3">
      <c r="B81" t="s">
        <v>70</v>
      </c>
      <c r="L81" s="2">
        <v>-1560</v>
      </c>
      <c r="M81" s="2">
        <f t="shared" si="94"/>
        <v>220</v>
      </c>
      <c r="N81" s="2">
        <f t="shared" si="95"/>
        <v>169</v>
      </c>
      <c r="O81" s="2">
        <f t="shared" si="99"/>
        <v>557</v>
      </c>
      <c r="P81" s="2">
        <v>-1289</v>
      </c>
      <c r="Q81" s="2">
        <f t="shared" si="96"/>
        <v>-20</v>
      </c>
      <c r="R81" s="2">
        <f t="shared" si="97"/>
        <v>2693</v>
      </c>
      <c r="S81" s="2">
        <f t="shared" si="100"/>
        <v>-1602</v>
      </c>
      <c r="T81" s="2">
        <v>-741</v>
      </c>
      <c r="U81" s="2"/>
      <c r="V81" s="2"/>
      <c r="W81" s="2"/>
      <c r="AC81" s="2">
        <v>-1533</v>
      </c>
      <c r="AD81" s="2">
        <v>-614</v>
      </c>
      <c r="AE81" s="2">
        <v>-218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</row>
    <row r="82" spans="2:144" x14ac:dyDescent="0.3">
      <c r="B82" t="s">
        <v>29</v>
      </c>
      <c r="L82" s="2">
        <v>1344</v>
      </c>
      <c r="M82" s="2">
        <f t="shared" si="94"/>
        <v>-3530</v>
      </c>
      <c r="N82" s="2">
        <f t="shared" si="95"/>
        <v>886</v>
      </c>
      <c r="O82" s="2">
        <f t="shared" si="99"/>
        <v>-2231</v>
      </c>
      <c r="P82" s="2">
        <v>-591</v>
      </c>
      <c r="Q82" s="2">
        <f t="shared" si="96"/>
        <v>-1583</v>
      </c>
      <c r="R82" s="2">
        <f t="shared" si="97"/>
        <v>1244</v>
      </c>
      <c r="S82" s="2">
        <f t="shared" si="100"/>
        <v>574</v>
      </c>
      <c r="T82" s="2">
        <v>67</v>
      </c>
      <c r="U82" s="2"/>
      <c r="V82" s="2"/>
      <c r="W82" s="2"/>
      <c r="AC82" s="2">
        <v>-4535</v>
      </c>
      <c r="AD82" s="2">
        <v>-3531</v>
      </c>
      <c r="AE82" s="2">
        <v>-356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</row>
    <row r="83" spans="2:144" x14ac:dyDescent="0.3">
      <c r="B83" t="s">
        <v>82</v>
      </c>
      <c r="L83" s="2">
        <v>-1540</v>
      </c>
      <c r="M83" s="2">
        <f t="shared" si="94"/>
        <v>-303</v>
      </c>
      <c r="N83" s="2">
        <f t="shared" si="95"/>
        <v>1356</v>
      </c>
      <c r="O83" s="2">
        <f t="shared" si="99"/>
        <v>36</v>
      </c>
      <c r="P83" s="2">
        <v>-2104</v>
      </c>
      <c r="Q83" s="2">
        <f t="shared" si="96"/>
        <v>121</v>
      </c>
      <c r="R83" s="2">
        <f t="shared" si="97"/>
        <v>2003</v>
      </c>
      <c r="S83" s="2">
        <f t="shared" si="100"/>
        <v>2203</v>
      </c>
      <c r="T83" s="2">
        <v>-1206</v>
      </c>
      <c r="U83" s="2"/>
      <c r="V83" s="2"/>
      <c r="W83" s="2"/>
      <c r="AC83" s="2">
        <f>-1278-24</f>
        <v>-1302</v>
      </c>
      <c r="AD83" s="2">
        <v>-451</v>
      </c>
      <c r="AE83" s="2">
        <v>2223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</row>
    <row r="84" spans="2:144" s="1" customFormat="1" x14ac:dyDescent="0.3">
      <c r="B84" s="1" t="s">
        <v>83</v>
      </c>
      <c r="L84" s="7">
        <f t="shared" ref="L84:S84" si="107">L70+SUM(L71:L83)</f>
        <v>-1775</v>
      </c>
      <c r="M84" s="7">
        <f t="shared" si="107"/>
        <v>2816</v>
      </c>
      <c r="N84" s="7">
        <f t="shared" si="107"/>
        <v>5811</v>
      </c>
      <c r="O84" s="7">
        <f t="shared" si="107"/>
        <v>4903</v>
      </c>
      <c r="P84" s="7">
        <f t="shared" si="107"/>
        <v>-1167</v>
      </c>
      <c r="Q84" s="7">
        <f t="shared" si="107"/>
        <v>2336</v>
      </c>
      <c r="R84" s="7">
        <f t="shared" si="107"/>
        <v>4404</v>
      </c>
      <c r="S84" s="7">
        <f t="shared" si="107"/>
        <v>3192</v>
      </c>
      <c r="T84" s="7">
        <f t="shared" ref="T84" si="108">T70+SUM(T71:T83)</f>
        <v>879</v>
      </c>
      <c r="U84" s="7"/>
      <c r="V84" s="7"/>
      <c r="W84" s="7"/>
      <c r="AC84" s="7">
        <f>AC70+SUM(AC71:AC83)</f>
        <v>15430</v>
      </c>
      <c r="AD84" s="7">
        <f>AD70+SUM(AD71:AD83)</f>
        <v>11755</v>
      </c>
      <c r="AE84" s="7">
        <f>AE70+SUM(AE71:AE83)</f>
        <v>8765</v>
      </c>
      <c r="AF84" s="7">
        <f>AF70+SUM(AF71:AF83)</f>
        <v>12933.288824999994</v>
      </c>
      <c r="AG84" s="7">
        <f t="shared" ref="AG84:AP84" si="109">AG70+SUM(AG71:AG83)</f>
        <v>15180.804143999998</v>
      </c>
      <c r="AH84" s="7">
        <f t="shared" si="109"/>
        <v>16850.439706207999</v>
      </c>
      <c r="AI84" s="7">
        <f t="shared" si="109"/>
        <v>17572.556690145597</v>
      </c>
      <c r="AJ84" s="7">
        <f t="shared" si="109"/>
        <v>18222.983636252575</v>
      </c>
      <c r="AK84" s="7">
        <f t="shared" si="109"/>
        <v>18742.374487091518</v>
      </c>
      <c r="AL84" s="7">
        <f t="shared" si="109"/>
        <v>19336.612682288251</v>
      </c>
      <c r="AM84" s="7">
        <f t="shared" si="109"/>
        <v>19960.003113282692</v>
      </c>
      <c r="AN84" s="7">
        <f t="shared" si="109"/>
        <v>20608.203397345726</v>
      </c>
      <c r="AO84" s="7">
        <f t="shared" si="109"/>
        <v>21279.241603743416</v>
      </c>
      <c r="AP84" s="7">
        <f t="shared" si="109"/>
        <v>21972.370739799044</v>
      </c>
    </row>
    <row r="85" spans="2:144" x14ac:dyDescent="0.3">
      <c r="B85" t="s">
        <v>63</v>
      </c>
      <c r="L85" s="2">
        <v>7413</v>
      </c>
      <c r="M85" s="2">
        <f>M105-L85</f>
        <v>5888</v>
      </c>
      <c r="N85" s="2">
        <f>N105-M85-L85</f>
        <v>5753</v>
      </c>
      <c r="O85" s="2">
        <f>AD85-N85-M85-L85</f>
        <v>6696</v>
      </c>
      <c r="P85" s="2">
        <v>5970</v>
      </c>
      <c r="Q85" s="2">
        <f>Q105-P85</f>
        <v>5682</v>
      </c>
      <c r="R85" s="2">
        <f>R105-Q85-P85</f>
        <v>6458</v>
      </c>
      <c r="S85" s="2">
        <f t="shared" si="100"/>
        <v>5834</v>
      </c>
      <c r="T85" s="2">
        <v>5183</v>
      </c>
      <c r="U85" s="2"/>
      <c r="V85" s="2"/>
      <c r="W85" s="2"/>
      <c r="AC85" s="2">
        <v>24844</v>
      </c>
      <c r="AD85" s="2">
        <v>25750</v>
      </c>
      <c r="AE85" s="2">
        <v>23944</v>
      </c>
      <c r="AF85" s="2">
        <v>21000</v>
      </c>
      <c r="AG85" s="2">
        <f t="shared" ref="AG85:AP85" si="110">AF85*0.94</f>
        <v>19740</v>
      </c>
      <c r="AH85" s="2">
        <f t="shared" si="110"/>
        <v>18555.599999999999</v>
      </c>
      <c r="AI85" s="2">
        <f>AH85*0.95</f>
        <v>17627.819999999996</v>
      </c>
      <c r="AJ85" s="2">
        <f t="shared" ref="AJ85:AP85" si="111">AI85*0.95</f>
        <v>16746.428999999996</v>
      </c>
      <c r="AK85" s="2">
        <f>AJ85*0.98</f>
        <v>16411.500419999997</v>
      </c>
      <c r="AL85" s="2">
        <f t="shared" ref="AL85:AP85" si="112">AK85*0.98</f>
        <v>16083.270411599997</v>
      </c>
      <c r="AM85" s="2">
        <f t="shared" si="112"/>
        <v>15761.605003367997</v>
      </c>
      <c r="AN85" s="2">
        <f t="shared" si="112"/>
        <v>15446.372903300637</v>
      </c>
      <c r="AO85" s="2">
        <f t="shared" si="112"/>
        <v>15137.445445234624</v>
      </c>
      <c r="AP85" s="2">
        <f t="shared" si="112"/>
        <v>14834.696536329931</v>
      </c>
    </row>
    <row r="86" spans="2:144" s="1" customFormat="1" x14ac:dyDescent="0.3">
      <c r="B86" s="1" t="s">
        <v>84</v>
      </c>
      <c r="L86" s="7">
        <f>L84-L85</f>
        <v>-9188</v>
      </c>
      <c r="M86" s="7">
        <f t="shared" ref="M86:S86" si="113">M84-M85</f>
        <v>-3072</v>
      </c>
      <c r="N86" s="7">
        <f t="shared" si="113"/>
        <v>58</v>
      </c>
      <c r="O86" s="7">
        <f t="shared" si="113"/>
        <v>-1793</v>
      </c>
      <c r="P86" s="7">
        <f t="shared" si="113"/>
        <v>-7137</v>
      </c>
      <c r="Q86" s="7">
        <f t="shared" si="113"/>
        <v>-3346</v>
      </c>
      <c r="R86" s="7">
        <f t="shared" si="113"/>
        <v>-2054</v>
      </c>
      <c r="S86" s="7">
        <f t="shared" si="113"/>
        <v>-2642</v>
      </c>
      <c r="T86" s="7">
        <f t="shared" ref="T86" si="114">T84-T85</f>
        <v>-4304</v>
      </c>
      <c r="U86" s="7"/>
      <c r="V86" s="7"/>
      <c r="W86" s="7"/>
      <c r="AC86" s="7">
        <f t="shared" ref="AC86" si="115">AC84-AC85</f>
        <v>-9414</v>
      </c>
      <c r="AD86" s="7">
        <f t="shared" ref="AD86" si="116">AD84-AD85</f>
        <v>-13995</v>
      </c>
      <c r="AE86" s="7">
        <f t="shared" ref="AE86" si="117">AE84-AE85</f>
        <v>-15179</v>
      </c>
      <c r="AF86" s="7">
        <f t="shared" ref="AF86" si="118">AF84-AF85</f>
        <v>-8066.7111750000058</v>
      </c>
      <c r="AG86" s="7">
        <f t="shared" ref="AG86" si="119">AG84-AG85</f>
        <v>-4559.1958560000021</v>
      </c>
      <c r="AH86" s="7">
        <f t="shared" ref="AH86" si="120">AH84-AH85</f>
        <v>-1705.1602937919997</v>
      </c>
      <c r="AI86" s="7">
        <f t="shared" ref="AI86" si="121">AI84-AI85</f>
        <v>-55.263309854399267</v>
      </c>
      <c r="AJ86" s="7">
        <f t="shared" ref="AJ86" si="122">AJ84-AJ85</f>
        <v>1476.5546362525783</v>
      </c>
      <c r="AK86" s="7">
        <f t="shared" ref="AK86" si="123">AK84-AK85</f>
        <v>2330.8740670915213</v>
      </c>
      <c r="AL86" s="7">
        <f t="shared" ref="AL86" si="124">AL84-AL85</f>
        <v>3253.3422706882538</v>
      </c>
      <c r="AM86" s="7">
        <f t="shared" ref="AM86" si="125">AM84-AM85</f>
        <v>4198.3981099146949</v>
      </c>
      <c r="AN86" s="7">
        <f t="shared" ref="AN86" si="126">AN84-AN85</f>
        <v>5161.8304940450889</v>
      </c>
      <c r="AO86" s="7">
        <f t="shared" ref="AO86" si="127">AO84-AO85</f>
        <v>6141.7961585087924</v>
      </c>
      <c r="AP86" s="7">
        <f t="shared" ref="AP86" si="128">AP84-AP85</f>
        <v>7137.6742034691124</v>
      </c>
      <c r="AQ86" s="1">
        <f>AP86*(1+$AS$88)</f>
        <v>7066.2974614344212</v>
      </c>
      <c r="AR86" s="1">
        <f t="shared" ref="AR86:DC86" si="129">AQ86*(1+$AS$88)</f>
        <v>6995.6344868200767</v>
      </c>
      <c r="AS86" s="1">
        <f t="shared" si="129"/>
        <v>6925.6781419518757</v>
      </c>
      <c r="AT86" s="1">
        <f t="shared" si="129"/>
        <v>6856.4213605323566</v>
      </c>
      <c r="AU86" s="1">
        <f t="shared" si="129"/>
        <v>6787.8571469270328</v>
      </c>
      <c r="AV86" s="1">
        <f t="shared" si="129"/>
        <v>6719.9785754577624</v>
      </c>
      <c r="AW86" s="1">
        <f t="shared" si="129"/>
        <v>6652.7787897031849</v>
      </c>
      <c r="AX86" s="1">
        <f t="shared" si="129"/>
        <v>6586.251001806153</v>
      </c>
      <c r="AY86" s="1">
        <f t="shared" si="129"/>
        <v>6520.3884917880914</v>
      </c>
      <c r="AZ86" s="1">
        <f t="shared" si="129"/>
        <v>6455.1846068702107</v>
      </c>
      <c r="BA86" s="1">
        <f t="shared" si="129"/>
        <v>6390.6327608015081</v>
      </c>
      <c r="BB86" s="1">
        <f t="shared" si="129"/>
        <v>6326.726433193493</v>
      </c>
      <c r="BC86" s="1">
        <f t="shared" si="129"/>
        <v>6263.4591688615583</v>
      </c>
      <c r="BD86" s="1">
        <f t="shared" si="129"/>
        <v>6200.8245771729426</v>
      </c>
      <c r="BE86" s="1">
        <f t="shared" si="129"/>
        <v>6138.8163314012127</v>
      </c>
      <c r="BF86" s="1">
        <f t="shared" si="129"/>
        <v>6077.4281680872009</v>
      </c>
      <c r="BG86" s="1">
        <f t="shared" si="129"/>
        <v>6016.6538864063286</v>
      </c>
      <c r="BH86" s="1">
        <f t="shared" si="129"/>
        <v>5956.4873475422655</v>
      </c>
      <c r="BI86" s="1">
        <f t="shared" si="129"/>
        <v>5896.9224740668424</v>
      </c>
      <c r="BJ86" s="1">
        <f t="shared" si="129"/>
        <v>5837.953249326174</v>
      </c>
      <c r="BK86" s="1">
        <f t="shared" si="129"/>
        <v>5779.5737168329124</v>
      </c>
      <c r="BL86" s="1">
        <f t="shared" si="129"/>
        <v>5721.7779796645837</v>
      </c>
      <c r="BM86" s="1">
        <f t="shared" si="129"/>
        <v>5664.5601998679376</v>
      </c>
      <c r="BN86" s="1">
        <f t="shared" si="129"/>
        <v>5607.9145978692586</v>
      </c>
      <c r="BO86" s="1">
        <f t="shared" si="129"/>
        <v>5551.8354518905662</v>
      </c>
      <c r="BP86" s="1">
        <f t="shared" si="129"/>
        <v>5496.3170973716606</v>
      </c>
      <c r="BQ86" s="1">
        <f t="shared" si="129"/>
        <v>5441.3539263979437</v>
      </c>
      <c r="BR86" s="1">
        <f t="shared" si="129"/>
        <v>5386.9403871339646</v>
      </c>
      <c r="BS86" s="1">
        <f t="shared" si="129"/>
        <v>5333.0709832626253</v>
      </c>
      <c r="BT86" s="1">
        <f t="shared" si="129"/>
        <v>5279.7402734299994</v>
      </c>
      <c r="BU86" s="1">
        <f t="shared" si="129"/>
        <v>5226.9428706956996</v>
      </c>
      <c r="BV86" s="1">
        <f t="shared" si="129"/>
        <v>5174.6734419887425</v>
      </c>
      <c r="BW86" s="1">
        <f t="shared" si="129"/>
        <v>5122.9267075688549</v>
      </c>
      <c r="BX86" s="1">
        <f t="shared" si="129"/>
        <v>5071.6974404931661</v>
      </c>
      <c r="BY86" s="1">
        <f t="shared" si="129"/>
        <v>5020.9804660882346</v>
      </c>
      <c r="BZ86" s="1">
        <f t="shared" si="129"/>
        <v>4970.770661427352</v>
      </c>
      <c r="CA86" s="1">
        <f t="shared" si="129"/>
        <v>4921.0629548130782</v>
      </c>
      <c r="CB86" s="1">
        <f t="shared" si="129"/>
        <v>4871.8523252649475</v>
      </c>
      <c r="CC86" s="1">
        <f t="shared" si="129"/>
        <v>4823.1338020122976</v>
      </c>
      <c r="CD86" s="1">
        <f t="shared" si="129"/>
        <v>4774.9024639921745</v>
      </c>
      <c r="CE86" s="1">
        <f t="shared" si="129"/>
        <v>4727.1534393522525</v>
      </c>
      <c r="CF86" s="1">
        <f t="shared" si="129"/>
        <v>4679.88190495873</v>
      </c>
      <c r="CG86" s="1">
        <f t="shared" si="129"/>
        <v>4633.0830859091429</v>
      </c>
      <c r="CH86" s="1">
        <f t="shared" si="129"/>
        <v>4586.7522550500516</v>
      </c>
      <c r="CI86" s="1">
        <f t="shared" si="129"/>
        <v>4540.8847324995513</v>
      </c>
      <c r="CJ86" s="1">
        <f t="shared" si="129"/>
        <v>4495.4758851745555</v>
      </c>
      <c r="CK86" s="1">
        <f t="shared" si="129"/>
        <v>4450.5211263228102</v>
      </c>
      <c r="CL86" s="1">
        <f t="shared" si="129"/>
        <v>4406.0159150595819</v>
      </c>
      <c r="CM86" s="1">
        <f t="shared" si="129"/>
        <v>4361.9557559089862</v>
      </c>
      <c r="CN86" s="1">
        <f t="shared" si="129"/>
        <v>4318.3361983498962</v>
      </c>
      <c r="CO86" s="1">
        <f t="shared" si="129"/>
        <v>4275.1528363663974</v>
      </c>
      <c r="CP86" s="1">
        <f t="shared" si="129"/>
        <v>4232.4013080027335</v>
      </c>
      <c r="CQ86" s="1">
        <f t="shared" si="129"/>
        <v>4190.0772949227057</v>
      </c>
      <c r="CR86" s="1">
        <f t="shared" si="129"/>
        <v>4148.1765219734789</v>
      </c>
      <c r="CS86" s="1">
        <f t="shared" si="129"/>
        <v>4106.6947567537436</v>
      </c>
      <c r="CT86" s="1">
        <f t="shared" si="129"/>
        <v>4065.6278091862059</v>
      </c>
      <c r="CU86" s="1">
        <f t="shared" si="129"/>
        <v>4024.9715310943438</v>
      </c>
      <c r="CV86" s="1">
        <f t="shared" si="129"/>
        <v>3984.7218157834004</v>
      </c>
      <c r="CW86" s="1">
        <f t="shared" si="129"/>
        <v>3944.8745976255664</v>
      </c>
      <c r="CX86" s="1">
        <f t="shared" si="129"/>
        <v>3905.4258516493105</v>
      </c>
      <c r="CY86" s="1">
        <f t="shared" si="129"/>
        <v>3866.3715931328175</v>
      </c>
      <c r="CZ86" s="1">
        <f t="shared" si="129"/>
        <v>3827.7078772014893</v>
      </c>
      <c r="DA86" s="1">
        <f t="shared" si="129"/>
        <v>3789.4307984294742</v>
      </c>
      <c r="DB86" s="1">
        <f t="shared" si="129"/>
        <v>3751.5364904451794</v>
      </c>
      <c r="DC86" s="1">
        <f t="shared" si="129"/>
        <v>3714.0211255407276</v>
      </c>
      <c r="DD86" s="1">
        <f t="shared" ref="DD86:EN86" si="130">DC86*(1+$AS$88)</f>
        <v>3676.8809142853202</v>
      </c>
      <c r="DE86" s="1">
        <f t="shared" si="130"/>
        <v>3640.112105142467</v>
      </c>
      <c r="DF86" s="1">
        <f t="shared" si="130"/>
        <v>3603.7109840910425</v>
      </c>
      <c r="DG86" s="1">
        <f t="shared" si="130"/>
        <v>3567.673874250132</v>
      </c>
      <c r="DH86" s="1">
        <f t="shared" si="130"/>
        <v>3531.9971355076309</v>
      </c>
      <c r="DI86" s="1">
        <f t="shared" si="130"/>
        <v>3496.6771641525547</v>
      </c>
      <c r="DJ86" s="1">
        <f t="shared" si="130"/>
        <v>3461.7103925110291</v>
      </c>
      <c r="DK86" s="1">
        <f t="shared" si="130"/>
        <v>3427.0932885859188</v>
      </c>
      <c r="DL86" s="1">
        <f t="shared" si="130"/>
        <v>3392.8223557000597</v>
      </c>
      <c r="DM86" s="1">
        <f t="shared" si="130"/>
        <v>3358.8941321430589</v>
      </c>
      <c r="DN86" s="1">
        <f t="shared" si="130"/>
        <v>3325.3051908216285</v>
      </c>
      <c r="DO86" s="1">
        <f t="shared" si="130"/>
        <v>3292.0521389134124</v>
      </c>
      <c r="DP86" s="1">
        <f t="shared" si="130"/>
        <v>3259.1316175242782</v>
      </c>
      <c r="DQ86" s="1">
        <f t="shared" si="130"/>
        <v>3226.5403013490354</v>
      </c>
      <c r="DR86" s="1">
        <f t="shared" si="130"/>
        <v>3194.274898335545</v>
      </c>
      <c r="DS86" s="1">
        <f t="shared" si="130"/>
        <v>3162.3321493521894</v>
      </c>
      <c r="DT86" s="1">
        <f t="shared" si="130"/>
        <v>3130.7088278586675</v>
      </c>
      <c r="DU86" s="1">
        <f t="shared" si="130"/>
        <v>3099.4017395800806</v>
      </c>
      <c r="DV86" s="1">
        <f t="shared" si="130"/>
        <v>3068.4077221842799</v>
      </c>
      <c r="DW86" s="1">
        <f t="shared" si="130"/>
        <v>3037.723644962437</v>
      </c>
      <c r="DX86" s="1">
        <f t="shared" si="130"/>
        <v>3007.3464085128126</v>
      </c>
      <c r="DY86" s="1">
        <f t="shared" si="130"/>
        <v>2977.2729444276843</v>
      </c>
      <c r="DZ86" s="1">
        <f t="shared" si="130"/>
        <v>2947.5002149834072</v>
      </c>
      <c r="EA86" s="1">
        <f t="shared" si="130"/>
        <v>2918.0252128335733</v>
      </c>
      <c r="EB86" s="1">
        <f t="shared" si="130"/>
        <v>2888.8449607052376</v>
      </c>
      <c r="EC86" s="1">
        <f t="shared" si="130"/>
        <v>2859.9565110981853</v>
      </c>
      <c r="ED86" s="1">
        <f t="shared" si="130"/>
        <v>2831.3569459872033</v>
      </c>
      <c r="EE86" s="1">
        <f t="shared" si="130"/>
        <v>2803.043376527331</v>
      </c>
      <c r="EF86" s="1">
        <f t="shared" si="130"/>
        <v>2775.0129427620577</v>
      </c>
      <c r="EG86" s="1">
        <f t="shared" si="130"/>
        <v>2747.2628133344369</v>
      </c>
      <c r="EH86" s="1">
        <f t="shared" si="130"/>
        <v>2719.7901852010928</v>
      </c>
      <c r="EI86" s="1">
        <f t="shared" si="130"/>
        <v>2692.5922833490818</v>
      </c>
      <c r="EJ86" s="1">
        <f t="shared" si="130"/>
        <v>2665.6663605155909</v>
      </c>
      <c r="EK86" s="1">
        <f t="shared" si="130"/>
        <v>2639.0096969104347</v>
      </c>
      <c r="EL86" s="1">
        <f t="shared" si="130"/>
        <v>2612.6195999413303</v>
      </c>
      <c r="EM86" s="1">
        <f t="shared" si="130"/>
        <v>2586.4934039419168</v>
      </c>
      <c r="EN86" s="1">
        <f t="shared" si="130"/>
        <v>2560.6284699024977</v>
      </c>
    </row>
    <row r="87" spans="2:144" s="1" customFormat="1" x14ac:dyDescent="0.3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AC87" s="7"/>
      <c r="AD87" s="7"/>
      <c r="AE87" s="7"/>
    </row>
    <row r="88" spans="2:144" s="1" customFormat="1" x14ac:dyDescent="0.3">
      <c r="B88" t="s">
        <v>94</v>
      </c>
      <c r="L88" s="7"/>
      <c r="M88" s="7"/>
      <c r="N88" s="7"/>
      <c r="O88" s="7"/>
      <c r="P88" s="8">
        <f t="shared" ref="P88:R88" si="131">P85/L85-1</f>
        <v>-0.19465803318494534</v>
      </c>
      <c r="Q88" s="8">
        <f t="shared" si="131"/>
        <v>-3.4986413043478271E-2</v>
      </c>
      <c r="R88" s="8">
        <f t="shared" si="131"/>
        <v>0.12254475925604025</v>
      </c>
      <c r="S88" s="8">
        <f>S85/O85-1</f>
        <v>-0.12873357228195936</v>
      </c>
      <c r="T88" s="8"/>
      <c r="U88" s="8"/>
      <c r="V88" s="8"/>
      <c r="W88" s="8"/>
      <c r="AC88" s="7"/>
      <c r="AD88" s="8">
        <f t="shared" ref="AD88" si="132">AD85/AC85-1</f>
        <v>3.6467557559169306E-2</v>
      </c>
      <c r="AE88" s="8">
        <f>AE85/AD85-1</f>
        <v>-7.0135922330097134E-2</v>
      </c>
      <c r="AR88" t="s">
        <v>49</v>
      </c>
      <c r="AS88" s="8">
        <v>-0.01</v>
      </c>
    </row>
    <row r="89" spans="2:144" s="1" customFormat="1" x14ac:dyDescent="0.3">
      <c r="AR89" t="s">
        <v>50</v>
      </c>
      <c r="AS89" s="8">
        <v>0.06</v>
      </c>
    </row>
    <row r="90" spans="2:144" x14ac:dyDescent="0.3">
      <c r="B90" t="s">
        <v>85</v>
      </c>
      <c r="M90" s="2">
        <f>M24+L24</f>
        <v>-1277</v>
      </c>
      <c r="N90" s="2">
        <f>N24+M24+L24</f>
        <v>-980</v>
      </c>
      <c r="Q90" s="2">
        <f>Q24+P24</f>
        <v>-1991</v>
      </c>
      <c r="R90" s="2">
        <f>R24+Q24+P24</f>
        <v>-18630</v>
      </c>
      <c r="AR90" t="s">
        <v>95</v>
      </c>
      <c r="AS90" s="2">
        <f>NPV(AS89,AF86:EN86)</f>
        <v>57773.595173221482</v>
      </c>
    </row>
    <row r="91" spans="2:144" x14ac:dyDescent="0.3">
      <c r="B91" t="s">
        <v>77</v>
      </c>
      <c r="M91">
        <v>3733</v>
      </c>
      <c r="N91">
        <v>5753</v>
      </c>
      <c r="Q91">
        <v>4403</v>
      </c>
      <c r="R91">
        <v>7651</v>
      </c>
      <c r="AR91" t="s">
        <v>52</v>
      </c>
      <c r="AS91" s="2">
        <f>Main!D8</f>
        <v>-24076</v>
      </c>
    </row>
    <row r="92" spans="2:144" x14ac:dyDescent="0.3">
      <c r="B92" t="s">
        <v>78</v>
      </c>
      <c r="M92">
        <v>1661</v>
      </c>
      <c r="N92">
        <v>2433</v>
      </c>
      <c r="Q92">
        <v>1959</v>
      </c>
      <c r="R92">
        <v>2759</v>
      </c>
      <c r="AR92" t="s">
        <v>53</v>
      </c>
      <c r="AS92" s="2">
        <f>AS90+AS91</f>
        <v>33697.595173221482</v>
      </c>
    </row>
    <row r="93" spans="2:144" x14ac:dyDescent="0.3">
      <c r="B93" t="s">
        <v>24</v>
      </c>
      <c r="M93">
        <v>255</v>
      </c>
      <c r="N93">
        <v>718</v>
      </c>
      <c r="Q93">
        <v>1291</v>
      </c>
      <c r="R93">
        <v>3626</v>
      </c>
      <c r="AR93" t="s">
        <v>54</v>
      </c>
      <c r="AS93" s="9">
        <f>AS92/AP25</f>
        <v>7.7590594458258071</v>
      </c>
    </row>
    <row r="94" spans="2:144" x14ac:dyDescent="0.3">
      <c r="B94" t="s">
        <v>79</v>
      </c>
      <c r="M94">
        <v>909</v>
      </c>
      <c r="N94">
        <v>1336</v>
      </c>
      <c r="Q94">
        <v>717</v>
      </c>
      <c r="R94">
        <v>1081</v>
      </c>
      <c r="AR94" t="s">
        <v>55</v>
      </c>
      <c r="AS94" s="9">
        <f>Main!D3</f>
        <v>20.14</v>
      </c>
    </row>
    <row r="95" spans="2:144" x14ac:dyDescent="0.3">
      <c r="B95" t="s">
        <v>58</v>
      </c>
      <c r="M95">
        <v>-146</v>
      </c>
      <c r="N95">
        <v>47</v>
      </c>
      <c r="Q95">
        <v>-84</v>
      </c>
      <c r="R95">
        <v>75</v>
      </c>
    </row>
    <row r="96" spans="2:144" x14ac:dyDescent="0.3">
      <c r="B96" t="s">
        <v>80</v>
      </c>
      <c r="N96">
        <v>-1376</v>
      </c>
      <c r="R96">
        <v>6368</v>
      </c>
    </row>
    <row r="97" spans="2:18" x14ac:dyDescent="0.3">
      <c r="B97" t="s">
        <v>81</v>
      </c>
      <c r="N97">
        <v>-87</v>
      </c>
      <c r="R97">
        <v>2290</v>
      </c>
    </row>
    <row r="98" spans="2:18" x14ac:dyDescent="0.3">
      <c r="B98" t="s">
        <v>59</v>
      </c>
      <c r="M98">
        <v>1137</v>
      </c>
      <c r="N98">
        <v>1290</v>
      </c>
      <c r="Q98">
        <v>272</v>
      </c>
      <c r="R98">
        <v>282</v>
      </c>
    </row>
    <row r="99" spans="2:18" x14ac:dyDescent="0.3">
      <c r="B99" t="s">
        <v>60</v>
      </c>
      <c r="M99">
        <v>1240</v>
      </c>
      <c r="N99">
        <v>1758</v>
      </c>
      <c r="Q99">
        <v>-116</v>
      </c>
      <c r="R99">
        <v>-969</v>
      </c>
    </row>
    <row r="100" spans="2:18" x14ac:dyDescent="0.3">
      <c r="B100" t="s">
        <v>69</v>
      </c>
      <c r="M100">
        <v>-1102</v>
      </c>
      <c r="N100">
        <v>-1082</v>
      </c>
      <c r="Q100">
        <v>184</v>
      </c>
      <c r="R100">
        <v>566</v>
      </c>
    </row>
    <row r="101" spans="2:18" x14ac:dyDescent="0.3">
      <c r="B101" t="s">
        <v>70</v>
      </c>
      <c r="M101">
        <v>-1340</v>
      </c>
      <c r="N101">
        <v>-1171</v>
      </c>
      <c r="Q101">
        <v>-1309</v>
      </c>
      <c r="R101">
        <v>1384</v>
      </c>
    </row>
    <row r="102" spans="2:18" x14ac:dyDescent="0.3">
      <c r="B102" t="s">
        <v>29</v>
      </c>
      <c r="M102">
        <v>-2186</v>
      </c>
      <c r="N102">
        <v>-1300</v>
      </c>
      <c r="Q102">
        <v>-2174</v>
      </c>
      <c r="R102">
        <v>-930</v>
      </c>
    </row>
    <row r="103" spans="2:18" x14ac:dyDescent="0.3">
      <c r="B103" t="s">
        <v>82</v>
      </c>
      <c r="M103">
        <v>-1843</v>
      </c>
      <c r="N103">
        <v>-487</v>
      </c>
      <c r="Q103">
        <v>-1983</v>
      </c>
      <c r="R103">
        <v>20</v>
      </c>
    </row>
    <row r="104" spans="2:18" x14ac:dyDescent="0.3">
      <c r="B104" t="s">
        <v>83</v>
      </c>
      <c r="M104" s="2">
        <f>M90+SUM(M91:M103)</f>
        <v>1041</v>
      </c>
      <c r="N104" s="2">
        <f>N90+SUM(N91:N103)</f>
        <v>6852</v>
      </c>
      <c r="Q104" s="2">
        <f>Q90+SUM(Q91:Q103)</f>
        <v>1169</v>
      </c>
      <c r="R104" s="2">
        <f>R90+SUM(R91:R103)</f>
        <v>5573</v>
      </c>
    </row>
    <row r="105" spans="2:18" x14ac:dyDescent="0.3">
      <c r="B105" t="s">
        <v>63</v>
      </c>
      <c r="M105">
        <v>13301</v>
      </c>
      <c r="N105">
        <v>19054</v>
      </c>
      <c r="Q105">
        <v>11652</v>
      </c>
      <c r="R105">
        <v>18110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cp:lastPrinted>2024-12-08T10:28:41Z</cp:lastPrinted>
  <dcterms:created xsi:type="dcterms:W3CDTF">2024-12-07T19:43:43Z</dcterms:created>
  <dcterms:modified xsi:type="dcterms:W3CDTF">2025-04-25T15:48:11Z</dcterms:modified>
</cp:coreProperties>
</file>