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DBF2C9FE-FA4D-4B77-A747-619F89820944}" xr6:coauthVersionLast="47" xr6:coauthVersionMax="47" xr10:uidLastSave="{00000000-0000-0000-0000-000000000000}"/>
  <bookViews>
    <workbookView xWindow="-108" yWindow="-108" windowWidth="23256" windowHeight="12576" activeTab="1" xr2:uid="{054FC3C2-46E6-4A64-A90B-FD32B5955AC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5" i="2" l="1"/>
  <c r="AC5" i="2"/>
  <c r="AB5" i="2"/>
  <c r="V5" i="2"/>
  <c r="V4" i="2" s="1"/>
  <c r="U5" i="2"/>
  <c r="U4" i="2" s="1"/>
  <c r="T5" i="2"/>
  <c r="S5" i="2"/>
  <c r="S4" i="2" s="1"/>
  <c r="T4" i="2"/>
  <c r="AB3" i="2"/>
  <c r="D6" i="1"/>
  <c r="D8" i="1" s="1"/>
  <c r="AP26" i="2" s="1"/>
  <c r="D4" i="1"/>
  <c r="D5" i="1" s="1"/>
  <c r="R5" i="2"/>
  <c r="V30" i="2"/>
  <c r="U30" i="2"/>
  <c r="T30" i="2"/>
  <c r="S30" i="2"/>
  <c r="V29" i="2"/>
  <c r="U29" i="2"/>
  <c r="T29" i="2"/>
  <c r="S29" i="2"/>
  <c r="V28" i="2"/>
  <c r="U28" i="2"/>
  <c r="T28" i="2"/>
  <c r="S28" i="2"/>
  <c r="V27" i="2"/>
  <c r="U27" i="2"/>
  <c r="T27" i="2"/>
  <c r="S27" i="2"/>
  <c r="V26" i="2"/>
  <c r="U26" i="2"/>
  <c r="T26" i="2"/>
  <c r="S26" i="2"/>
  <c r="V25" i="2"/>
  <c r="U25" i="2"/>
  <c r="T25" i="2"/>
  <c r="S25" i="2"/>
  <c r="V24" i="2"/>
  <c r="U24" i="2"/>
  <c r="T24" i="2"/>
  <c r="S24" i="2"/>
  <c r="T23" i="2"/>
  <c r="S23" i="2"/>
  <c r="V22" i="2"/>
  <c r="U22" i="2"/>
  <c r="T22" i="2"/>
  <c r="S22" i="2"/>
  <c r="AP29" i="2"/>
  <c r="AL19" i="2"/>
  <c r="AK19" i="2"/>
  <c r="AJ19" i="2"/>
  <c r="AI19" i="2"/>
  <c r="AH19" i="2"/>
  <c r="AG19" i="2"/>
  <c r="AF19" i="2"/>
  <c r="AE19" i="2"/>
  <c r="AD19" i="2"/>
  <c r="AC19" i="2"/>
  <c r="AB19" i="2"/>
  <c r="AA17" i="2"/>
  <c r="AA14" i="2"/>
  <c r="AA13" i="2"/>
  <c r="AB13" i="2" s="1"/>
  <c r="AB15" i="2" s="1"/>
  <c r="AA12" i="2"/>
  <c r="AA19" i="2"/>
  <c r="R19" i="2"/>
  <c r="R15" i="2"/>
  <c r="R27" i="2"/>
  <c r="R26" i="2"/>
  <c r="R25" i="2"/>
  <c r="AA6" i="2"/>
  <c r="AB6" i="2" s="1"/>
  <c r="R23" i="2"/>
  <c r="AA3" i="2"/>
  <c r="P27" i="2"/>
  <c r="O27" i="2"/>
  <c r="N27" i="2"/>
  <c r="M27" i="2"/>
  <c r="L27" i="2"/>
  <c r="K27" i="2"/>
  <c r="J27" i="2"/>
  <c r="I27" i="2"/>
  <c r="H27" i="2"/>
  <c r="G27" i="2"/>
  <c r="P26" i="2"/>
  <c r="O26" i="2"/>
  <c r="N26" i="2"/>
  <c r="M26" i="2"/>
  <c r="L26" i="2"/>
  <c r="K26" i="2"/>
  <c r="J26" i="2"/>
  <c r="I26" i="2"/>
  <c r="H26" i="2"/>
  <c r="G26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P24" i="2"/>
  <c r="O24" i="2"/>
  <c r="N24" i="2"/>
  <c r="M24" i="2"/>
  <c r="L24" i="2"/>
  <c r="K24" i="2"/>
  <c r="J24" i="2"/>
  <c r="I24" i="2"/>
  <c r="H24" i="2"/>
  <c r="G24" i="2"/>
  <c r="P22" i="2"/>
  <c r="O22" i="2"/>
  <c r="N22" i="2"/>
  <c r="M22" i="2"/>
  <c r="L22" i="2"/>
  <c r="K22" i="2"/>
  <c r="J22" i="2"/>
  <c r="I22" i="2"/>
  <c r="H22" i="2"/>
  <c r="G22" i="2"/>
  <c r="Q27" i="2"/>
  <c r="Q26" i="2"/>
  <c r="Q25" i="2"/>
  <c r="Q24" i="2"/>
  <c r="Q22" i="2"/>
  <c r="Z17" i="2"/>
  <c r="Z14" i="2"/>
  <c r="Z13" i="2"/>
  <c r="Z12" i="2"/>
  <c r="Z9" i="2"/>
  <c r="Z8" i="2"/>
  <c r="Z7" i="2"/>
  <c r="Z6" i="2"/>
  <c r="Z4" i="2"/>
  <c r="Z3" i="2"/>
  <c r="Z19" i="2"/>
  <c r="Y17" i="2"/>
  <c r="Y14" i="2"/>
  <c r="Y13" i="2"/>
  <c r="Y12" i="2"/>
  <c r="Y9" i="2"/>
  <c r="Y8" i="2"/>
  <c r="Y7" i="2"/>
  <c r="Y6" i="2"/>
  <c r="Y4" i="2"/>
  <c r="Y3" i="2"/>
  <c r="Y19" i="2"/>
  <c r="X17" i="2"/>
  <c r="X14" i="2"/>
  <c r="X13" i="2"/>
  <c r="X12" i="2"/>
  <c r="X9" i="2"/>
  <c r="X8" i="2"/>
  <c r="X7" i="2"/>
  <c r="X6" i="2"/>
  <c r="X4" i="2"/>
  <c r="X19" i="2"/>
  <c r="X3" i="2"/>
  <c r="F19" i="2"/>
  <c r="F15" i="2"/>
  <c r="F10" i="2"/>
  <c r="F5" i="2"/>
  <c r="F23" i="2" s="1"/>
  <c r="C19" i="2"/>
  <c r="C15" i="2"/>
  <c r="C10" i="2"/>
  <c r="C5" i="2"/>
  <c r="C23" i="2" s="1"/>
  <c r="G19" i="2"/>
  <c r="G15" i="2"/>
  <c r="G10" i="2"/>
  <c r="G5" i="2"/>
  <c r="G23" i="2" s="1"/>
  <c r="D19" i="2"/>
  <c r="D15" i="2"/>
  <c r="D10" i="2"/>
  <c r="D5" i="2"/>
  <c r="D23" i="2" s="1"/>
  <c r="H19" i="2"/>
  <c r="H15" i="2"/>
  <c r="H10" i="2"/>
  <c r="H5" i="2"/>
  <c r="H23" i="2" s="1"/>
  <c r="E19" i="2"/>
  <c r="E15" i="2"/>
  <c r="E10" i="2"/>
  <c r="E5" i="2"/>
  <c r="E23" i="2" s="1"/>
  <c r="I19" i="2"/>
  <c r="I15" i="2"/>
  <c r="I10" i="2"/>
  <c r="I5" i="2"/>
  <c r="I23" i="2" s="1"/>
  <c r="J19" i="2"/>
  <c r="J15" i="2"/>
  <c r="J10" i="2"/>
  <c r="J5" i="2"/>
  <c r="J23" i="2" s="1"/>
  <c r="N19" i="2"/>
  <c r="N15" i="2"/>
  <c r="N10" i="2"/>
  <c r="N5" i="2"/>
  <c r="N23" i="2" s="1"/>
  <c r="K19" i="2"/>
  <c r="K15" i="2"/>
  <c r="K10" i="2"/>
  <c r="K5" i="2"/>
  <c r="K23" i="2" s="1"/>
  <c r="O19" i="2"/>
  <c r="O15" i="2"/>
  <c r="O10" i="2"/>
  <c r="O5" i="2"/>
  <c r="O23" i="2" s="1"/>
  <c r="L19" i="2"/>
  <c r="L15" i="2"/>
  <c r="L10" i="2"/>
  <c r="L5" i="2"/>
  <c r="L23" i="2" s="1"/>
  <c r="P19" i="2"/>
  <c r="P15" i="2"/>
  <c r="P10" i="2"/>
  <c r="P5" i="2"/>
  <c r="P23" i="2" s="1"/>
  <c r="M19" i="2"/>
  <c r="M15" i="2"/>
  <c r="M10" i="2"/>
  <c r="M5" i="2"/>
  <c r="M23" i="2" s="1"/>
  <c r="Q19" i="2"/>
  <c r="Q15" i="2"/>
  <c r="Q10" i="2"/>
  <c r="Q5" i="2"/>
  <c r="Q23" i="2" s="1"/>
  <c r="F3" i="1"/>
  <c r="U23" i="2" l="1"/>
  <c r="V23" i="2"/>
  <c r="D9" i="1"/>
  <c r="Y26" i="2"/>
  <c r="Y27" i="2"/>
  <c r="Z26" i="2"/>
  <c r="X25" i="2"/>
  <c r="Y22" i="2"/>
  <c r="Z27" i="2"/>
  <c r="AA8" i="2"/>
  <c r="AB8" i="2" s="1"/>
  <c r="AC8" i="2" s="1"/>
  <c r="AC26" i="2" s="1"/>
  <c r="AA4" i="2"/>
  <c r="AA5" i="2" s="1"/>
  <c r="AA23" i="2" s="1"/>
  <c r="Y24" i="2"/>
  <c r="Y25" i="2"/>
  <c r="Z22" i="2"/>
  <c r="R22" i="2"/>
  <c r="AA9" i="2"/>
  <c r="Z24" i="2"/>
  <c r="Z25" i="2"/>
  <c r="AC6" i="2"/>
  <c r="AC24" i="2" s="1"/>
  <c r="AB7" i="2"/>
  <c r="AB25" i="2" s="1"/>
  <c r="AB23" i="2"/>
  <c r="AC3" i="2"/>
  <c r="AC22" i="2" s="1"/>
  <c r="AA7" i="2"/>
  <c r="AA25" i="2" s="1"/>
  <c r="R24" i="2"/>
  <c r="AA15" i="2"/>
  <c r="AC13" i="2"/>
  <c r="X5" i="2"/>
  <c r="X23" i="2" s="1"/>
  <c r="R10" i="2"/>
  <c r="R11" i="2" s="1"/>
  <c r="AB24" i="2"/>
  <c r="AB22" i="2"/>
  <c r="AA22" i="2"/>
  <c r="AA24" i="2"/>
  <c r="Z15" i="2"/>
  <c r="Z10" i="2"/>
  <c r="Z5" i="2"/>
  <c r="Z23" i="2" s="1"/>
  <c r="Y15" i="2"/>
  <c r="Y10" i="2"/>
  <c r="Y5" i="2"/>
  <c r="Y23" i="2" s="1"/>
  <c r="X15" i="2"/>
  <c r="X10" i="2"/>
  <c r="F11" i="2"/>
  <c r="C11" i="2"/>
  <c r="G11" i="2"/>
  <c r="D11" i="2"/>
  <c r="H11" i="2"/>
  <c r="E11" i="2"/>
  <c r="I11" i="2"/>
  <c r="Q11" i="2"/>
  <c r="J11" i="2"/>
  <c r="N11" i="2"/>
  <c r="K11" i="2"/>
  <c r="O11" i="2"/>
  <c r="L11" i="2"/>
  <c r="P11" i="2"/>
  <c r="M11" i="2"/>
  <c r="AD8" i="2" l="1"/>
  <c r="AE8" i="2" s="1"/>
  <c r="AF8" i="2" s="1"/>
  <c r="AG8" i="2" s="1"/>
  <c r="AH8" i="2" s="1"/>
  <c r="AI8" i="2" s="1"/>
  <c r="AJ8" i="2" s="1"/>
  <c r="AK8" i="2" s="1"/>
  <c r="AL8" i="2" s="1"/>
  <c r="AA26" i="2"/>
  <c r="AA10" i="2"/>
  <c r="AA11" i="2" s="1"/>
  <c r="AA16" i="2" s="1"/>
  <c r="AB4" i="2"/>
  <c r="AB26" i="2"/>
  <c r="X11" i="2"/>
  <c r="X16" i="2" s="1"/>
  <c r="AA27" i="2"/>
  <c r="AB9" i="2"/>
  <c r="AB10" i="2" s="1"/>
  <c r="AB11" i="2" s="1"/>
  <c r="P16" i="2"/>
  <c r="P28" i="2"/>
  <c r="E16" i="2"/>
  <c r="E28" i="2"/>
  <c r="D16" i="2"/>
  <c r="D28" i="2"/>
  <c r="Q16" i="2"/>
  <c r="Q28" i="2"/>
  <c r="I16" i="2"/>
  <c r="I28" i="2"/>
  <c r="H16" i="2"/>
  <c r="H28" i="2"/>
  <c r="AD6" i="2"/>
  <c r="M16" i="2"/>
  <c r="M28" i="2"/>
  <c r="R28" i="2"/>
  <c r="R16" i="2"/>
  <c r="L16" i="2"/>
  <c r="L28" i="2"/>
  <c r="AD13" i="2"/>
  <c r="AC15" i="2"/>
  <c r="O16" i="2"/>
  <c r="O28" i="2"/>
  <c r="K16" i="2"/>
  <c r="K28" i="2"/>
  <c r="G16" i="2"/>
  <c r="G28" i="2"/>
  <c r="N16" i="2"/>
  <c r="N28" i="2"/>
  <c r="C16" i="2"/>
  <c r="C28" i="2"/>
  <c r="J16" i="2"/>
  <c r="J28" i="2"/>
  <c r="F16" i="2"/>
  <c r="F28" i="2"/>
  <c r="AD3" i="2"/>
  <c r="AC7" i="2"/>
  <c r="AC25" i="2" s="1"/>
  <c r="AD26" i="2"/>
  <c r="Z11" i="2"/>
  <c r="Y11" i="2"/>
  <c r="AA28" i="2" l="1"/>
  <c r="X28" i="2"/>
  <c r="AC9" i="2"/>
  <c r="AB27" i="2"/>
  <c r="I18" i="2"/>
  <c r="I29" i="2"/>
  <c r="AD7" i="2"/>
  <c r="AD25" i="2" s="1"/>
  <c r="AD23" i="2"/>
  <c r="AE3" i="2"/>
  <c r="AD22" i="2"/>
  <c r="N18" i="2"/>
  <c r="N29" i="2"/>
  <c r="AE13" i="2"/>
  <c r="AD15" i="2"/>
  <c r="X18" i="2"/>
  <c r="X29" i="2"/>
  <c r="P18" i="2"/>
  <c r="P29" i="2"/>
  <c r="AE6" i="2"/>
  <c r="AD24" i="2"/>
  <c r="Q18" i="2"/>
  <c r="Q29" i="2"/>
  <c r="Y16" i="2"/>
  <c r="Y28" i="2"/>
  <c r="G18" i="2"/>
  <c r="G29" i="2"/>
  <c r="L18" i="2"/>
  <c r="L29" i="2"/>
  <c r="AB16" i="2"/>
  <c r="AB28" i="2"/>
  <c r="Z16" i="2"/>
  <c r="Z28" i="2"/>
  <c r="R29" i="2"/>
  <c r="R18" i="2"/>
  <c r="F18" i="2"/>
  <c r="F29" i="2"/>
  <c r="AC10" i="2"/>
  <c r="AC11" i="2" s="1"/>
  <c r="J18" i="2"/>
  <c r="J29" i="2"/>
  <c r="K18" i="2"/>
  <c r="K29" i="2"/>
  <c r="D18" i="2"/>
  <c r="D29" i="2"/>
  <c r="H18" i="2"/>
  <c r="H29" i="2"/>
  <c r="AC4" i="2"/>
  <c r="AC23" i="2"/>
  <c r="C18" i="2"/>
  <c r="C29" i="2"/>
  <c r="O18" i="2"/>
  <c r="O29" i="2"/>
  <c r="M18" i="2"/>
  <c r="M29" i="2"/>
  <c r="E18" i="2"/>
  <c r="E29" i="2"/>
  <c r="AE26" i="2"/>
  <c r="AA18" i="2"/>
  <c r="AA29" i="2"/>
  <c r="AD4" i="2" l="1"/>
  <c r="AD9" i="2"/>
  <c r="AC27" i="2"/>
  <c r="L20" i="2"/>
  <c r="L30" i="2"/>
  <c r="I20" i="2"/>
  <c r="I30" i="2"/>
  <c r="O20" i="2"/>
  <c r="O30" i="2"/>
  <c r="D20" i="2"/>
  <c r="D30" i="2"/>
  <c r="R20" i="2"/>
  <c r="R30" i="2"/>
  <c r="AF6" i="2"/>
  <c r="AE24" i="2"/>
  <c r="N20" i="2"/>
  <c r="N30" i="2"/>
  <c r="M20" i="2"/>
  <c r="M30" i="2"/>
  <c r="K20" i="2"/>
  <c r="K30" i="2"/>
  <c r="P20" i="2"/>
  <c r="P30" i="2"/>
  <c r="Z18" i="2"/>
  <c r="Z29" i="2"/>
  <c r="Y18" i="2"/>
  <c r="Y29" i="2"/>
  <c r="H20" i="2"/>
  <c r="H30" i="2"/>
  <c r="AF13" i="2"/>
  <c r="AE15" i="2"/>
  <c r="F20" i="2"/>
  <c r="F30" i="2"/>
  <c r="J20" i="2"/>
  <c r="J30" i="2"/>
  <c r="X20" i="2"/>
  <c r="X30" i="2"/>
  <c r="G20" i="2"/>
  <c r="G30" i="2"/>
  <c r="C20" i="2"/>
  <c r="C30" i="2"/>
  <c r="AE7" i="2"/>
  <c r="AE25" i="2" s="1"/>
  <c r="AF3" i="2"/>
  <c r="AE5" i="2"/>
  <c r="AE22" i="2"/>
  <c r="E20" i="2"/>
  <c r="E30" i="2"/>
  <c r="AC16" i="2"/>
  <c r="AC28" i="2"/>
  <c r="AB29" i="2"/>
  <c r="AB18" i="2"/>
  <c r="Q20" i="2"/>
  <c r="Q30" i="2"/>
  <c r="AF26" i="2"/>
  <c r="AA30" i="2"/>
  <c r="AA20" i="2"/>
  <c r="AE9" i="2" l="1"/>
  <c r="AD27" i="2"/>
  <c r="AD10" i="2"/>
  <c r="AD11" i="2" s="1"/>
  <c r="AC29" i="2"/>
  <c r="AC18" i="2"/>
  <c r="Y20" i="2"/>
  <c r="Y30" i="2"/>
  <c r="Z20" i="2"/>
  <c r="Z30" i="2"/>
  <c r="AE4" i="2"/>
  <c r="AE23" i="2"/>
  <c r="AG13" i="2"/>
  <c r="AF15" i="2"/>
  <c r="AB30" i="2"/>
  <c r="AB20" i="2"/>
  <c r="AG3" i="2"/>
  <c r="AF5" i="2"/>
  <c r="AF7" i="2"/>
  <c r="AF25" i="2" s="1"/>
  <c r="AF22" i="2"/>
  <c r="AG6" i="2"/>
  <c r="AF24" i="2"/>
  <c r="AG26" i="2"/>
  <c r="AF9" i="2" l="1"/>
  <c r="AE27" i="2"/>
  <c r="AE10" i="2"/>
  <c r="AE11" i="2" s="1"/>
  <c r="AE28" i="2" s="1"/>
  <c r="AD16" i="2"/>
  <c r="AD28" i="2"/>
  <c r="AG5" i="2"/>
  <c r="AG7" i="2"/>
  <c r="AG25" i="2" s="1"/>
  <c r="AH3" i="2"/>
  <c r="AG22" i="2"/>
  <c r="AF4" i="2"/>
  <c r="AF23" i="2"/>
  <c r="AH6" i="2"/>
  <c r="AG24" i="2"/>
  <c r="AH13" i="2"/>
  <c r="AG15" i="2"/>
  <c r="AC20" i="2"/>
  <c r="AC30" i="2"/>
  <c r="AH26" i="2"/>
  <c r="AE16" i="2" l="1"/>
  <c r="AE18" i="2" s="1"/>
  <c r="AG9" i="2"/>
  <c r="AF27" i="2"/>
  <c r="AF10" i="2"/>
  <c r="AF11" i="2" s="1"/>
  <c r="AF16" i="2" s="1"/>
  <c r="AD29" i="2"/>
  <c r="AD18" i="2"/>
  <c r="AG4" i="2"/>
  <c r="AG23" i="2"/>
  <c r="AI13" i="2"/>
  <c r="AH15" i="2"/>
  <c r="AH7" i="2"/>
  <c r="AI3" i="2"/>
  <c r="AH5" i="2"/>
  <c r="AH22" i="2"/>
  <c r="AI6" i="2"/>
  <c r="AH24" i="2"/>
  <c r="AI26" i="2"/>
  <c r="AE29" i="2" l="1"/>
  <c r="AD20" i="2"/>
  <c r="AD30" i="2"/>
  <c r="AF28" i="2"/>
  <c r="AH9" i="2"/>
  <c r="AG27" i="2"/>
  <c r="AG10" i="2"/>
  <c r="AG11" i="2" s="1"/>
  <c r="AG16" i="2" s="1"/>
  <c r="AH10" i="2"/>
  <c r="AH11" i="2" s="1"/>
  <c r="AH25" i="2"/>
  <c r="AJ6" i="2"/>
  <c r="AI24" i="2"/>
  <c r="AJ13" i="2"/>
  <c r="AI15" i="2"/>
  <c r="AF29" i="2"/>
  <c r="AF18" i="2"/>
  <c r="AE20" i="2"/>
  <c r="AE30" i="2"/>
  <c r="AH4" i="2"/>
  <c r="AH23" i="2"/>
  <c r="AJ3" i="2"/>
  <c r="AI7" i="2"/>
  <c r="AI5" i="2"/>
  <c r="AI22" i="2"/>
  <c r="AJ26" i="2"/>
  <c r="AI9" i="2" l="1"/>
  <c r="AH27" i="2"/>
  <c r="AG28" i="2"/>
  <c r="AF20" i="2"/>
  <c r="AF30" i="2"/>
  <c r="AK13" i="2"/>
  <c r="AJ15" i="2"/>
  <c r="AG29" i="2"/>
  <c r="AG18" i="2"/>
  <c r="AK6" i="2"/>
  <c r="AJ24" i="2"/>
  <c r="AI10" i="2"/>
  <c r="AI11" i="2" s="1"/>
  <c r="AI25" i="2"/>
  <c r="AK3" i="2"/>
  <c r="AJ5" i="2"/>
  <c r="AJ7" i="2"/>
  <c r="AJ22" i="2"/>
  <c r="AI4" i="2"/>
  <c r="AI23" i="2"/>
  <c r="AH16" i="2"/>
  <c r="AH28" i="2"/>
  <c r="AK26" i="2"/>
  <c r="AL26" i="2"/>
  <c r="AJ9" i="2" l="1"/>
  <c r="AJ10" i="2" s="1"/>
  <c r="AJ11" i="2" s="1"/>
  <c r="AI27" i="2"/>
  <c r="AI16" i="2"/>
  <c r="AI28" i="2"/>
  <c r="AJ25" i="2"/>
  <c r="AL3" i="2"/>
  <c r="AK7" i="2"/>
  <c r="AK25" i="2" s="1"/>
  <c r="AK5" i="2"/>
  <c r="AK22" i="2"/>
  <c r="AL13" i="2"/>
  <c r="AL15" i="2" s="1"/>
  <c r="AK15" i="2"/>
  <c r="AL6" i="2"/>
  <c r="AL24" i="2" s="1"/>
  <c r="AK24" i="2"/>
  <c r="AG20" i="2"/>
  <c r="AG30" i="2"/>
  <c r="AJ4" i="2"/>
  <c r="AJ23" i="2"/>
  <c r="AH18" i="2"/>
  <c r="AH29" i="2"/>
  <c r="AK9" i="2" l="1"/>
  <c r="AK10" i="2" s="1"/>
  <c r="AK11" i="2" s="1"/>
  <c r="AJ27" i="2"/>
  <c r="AI18" i="2"/>
  <c r="AI29" i="2"/>
  <c r="AK4" i="2"/>
  <c r="AK23" i="2"/>
  <c r="AL5" i="2"/>
  <c r="AL7" i="2"/>
  <c r="AL22" i="2"/>
  <c r="AJ16" i="2"/>
  <c r="AJ28" i="2"/>
  <c r="AH30" i="2"/>
  <c r="AH20" i="2"/>
  <c r="AL9" i="2" l="1"/>
  <c r="AL27" i="2" s="1"/>
  <c r="AK27" i="2"/>
  <c r="AI20" i="2"/>
  <c r="AI30" i="2"/>
  <c r="AL25" i="2"/>
  <c r="AL4" i="2"/>
  <c r="AL23" i="2"/>
  <c r="AJ18" i="2"/>
  <c r="AJ29" i="2"/>
  <c r="AK16" i="2"/>
  <c r="AK28" i="2"/>
  <c r="AL10" i="2" l="1"/>
  <c r="AL11" i="2" s="1"/>
  <c r="AL16" i="2" s="1"/>
  <c r="AJ30" i="2"/>
  <c r="AJ20" i="2"/>
  <c r="AK18" i="2"/>
  <c r="AK29" i="2"/>
  <c r="AL28" i="2" l="1"/>
  <c r="AL29" i="2"/>
  <c r="AL18" i="2"/>
  <c r="AK20" i="2"/>
  <c r="AK30" i="2"/>
  <c r="AL30" i="2" l="1"/>
  <c r="AM18" i="2"/>
  <c r="AL20" i="2"/>
  <c r="AN18" i="2" l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CD18" i="2" s="1"/>
  <c r="CE18" i="2" s="1"/>
  <c r="CF18" i="2" s="1"/>
  <c r="CG18" i="2" s="1"/>
  <c r="CH18" i="2" s="1"/>
  <c r="CI18" i="2" s="1"/>
  <c r="CJ18" i="2" s="1"/>
  <c r="CK18" i="2" s="1"/>
  <c r="CL18" i="2" s="1"/>
  <c r="CM18" i="2" s="1"/>
  <c r="CN18" i="2" s="1"/>
  <c r="CO18" i="2" s="1"/>
  <c r="CP18" i="2" s="1"/>
  <c r="CQ18" i="2" s="1"/>
  <c r="CR18" i="2" s="1"/>
  <c r="CS18" i="2" s="1"/>
  <c r="CT18" i="2" s="1"/>
  <c r="CU18" i="2" s="1"/>
  <c r="CV18" i="2" s="1"/>
  <c r="CW18" i="2" s="1"/>
  <c r="CX18" i="2" s="1"/>
  <c r="CY18" i="2" s="1"/>
  <c r="CZ18" i="2" s="1"/>
  <c r="DA18" i="2" s="1"/>
  <c r="DB18" i="2" s="1"/>
  <c r="DC18" i="2" s="1"/>
  <c r="DD18" i="2" s="1"/>
  <c r="DE18" i="2" s="1"/>
  <c r="DF18" i="2" s="1"/>
  <c r="DG18" i="2" s="1"/>
  <c r="DH18" i="2" s="1"/>
  <c r="DI18" i="2" s="1"/>
  <c r="DJ18" i="2" s="1"/>
  <c r="DK18" i="2" s="1"/>
  <c r="DL18" i="2" s="1"/>
  <c r="DM18" i="2" s="1"/>
  <c r="DN18" i="2" s="1"/>
  <c r="DO18" i="2" s="1"/>
  <c r="DP18" i="2" s="1"/>
  <c r="DQ18" i="2" s="1"/>
  <c r="DR18" i="2" s="1"/>
  <c r="DS18" i="2" s="1"/>
  <c r="DT18" i="2" s="1"/>
  <c r="DU18" i="2" s="1"/>
  <c r="DV18" i="2" s="1"/>
  <c r="DW18" i="2" s="1"/>
  <c r="DX18" i="2" s="1"/>
  <c r="DY18" i="2" s="1"/>
  <c r="DZ18" i="2" s="1"/>
  <c r="EA18" i="2" s="1"/>
  <c r="EB18" i="2" s="1"/>
  <c r="EC18" i="2" s="1"/>
  <c r="ED18" i="2" s="1"/>
  <c r="EE18" i="2" s="1"/>
  <c r="EF18" i="2" s="1"/>
  <c r="EG18" i="2" s="1"/>
  <c r="EH18" i="2" s="1"/>
  <c r="EI18" i="2" s="1"/>
  <c r="EJ18" i="2" s="1"/>
  <c r="EK18" i="2" s="1"/>
  <c r="EL18" i="2" s="1"/>
  <c r="EM18" i="2" s="1"/>
  <c r="EN18" i="2" s="1"/>
  <c r="EO18" i="2" s="1"/>
  <c r="EP18" i="2" s="1"/>
  <c r="EQ18" i="2" s="1"/>
  <c r="ER18" i="2" s="1"/>
  <c r="ES18" i="2" s="1"/>
  <c r="ET18" i="2" s="1"/>
  <c r="EU18" i="2" s="1"/>
  <c r="EV18" i="2" s="1"/>
  <c r="EW18" i="2" s="1"/>
  <c r="EX18" i="2" s="1"/>
  <c r="EY18" i="2" s="1"/>
  <c r="EZ18" i="2" s="1"/>
  <c r="AP25" i="2" l="1"/>
  <c r="AP27" i="2" s="1"/>
  <c r="AP28" i="2" s="1"/>
  <c r="AP30" i="2" s="1"/>
</calcChain>
</file>

<file path=xl/sharedStrings.xml><?xml version="1.0" encoding="utf-8"?>
<sst xmlns="http://schemas.openxmlformats.org/spreadsheetml/2006/main" count="69" uniqueCount="67">
  <si>
    <t>IONQ</t>
  </si>
  <si>
    <t>Price</t>
  </si>
  <si>
    <t>Shares</t>
  </si>
  <si>
    <t>MC</t>
  </si>
  <si>
    <t>Cash</t>
  </si>
  <si>
    <t>Debt</t>
  </si>
  <si>
    <t>Net Cash</t>
  </si>
  <si>
    <t>EV</t>
  </si>
  <si>
    <t>Last checked</t>
  </si>
  <si>
    <t>Today</t>
  </si>
  <si>
    <t>Earnings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</si>
  <si>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</si>
  <si>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</si>
  <si>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</si>
  <si>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</si>
  <si>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</si>
  <si>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</si>
  <si>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</si>
  <si>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</si>
  <si>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</si>
  <si>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</si>
  <si>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</si>
  <si>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</si>
  <si>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</si>
  <si>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Cost of sales</t>
  </si>
  <si>
    <t>Gross profit</t>
  </si>
  <si>
    <t>R&amp;D</t>
  </si>
  <si>
    <t>S&amp;M</t>
  </si>
  <si>
    <t>G&amp;A</t>
  </si>
  <si>
    <t>D&amp;A</t>
  </si>
  <si>
    <t>Total operating expenses</t>
  </si>
  <si>
    <t>Operating profit</t>
  </si>
  <si>
    <t>Finance income</t>
  </si>
  <si>
    <t>Interest income</t>
  </si>
  <si>
    <t>Other income</t>
  </si>
  <si>
    <t>Pretax profit</t>
  </si>
  <si>
    <t>Taxes</t>
  </si>
  <si>
    <t>Net profit</t>
  </si>
  <si>
    <t>EPS</t>
  </si>
  <si>
    <t>Net financial expense</t>
  </si>
  <si>
    <t>Q121</t>
  </si>
  <si>
    <t>Q221</t>
  </si>
  <si>
    <t>Q321</t>
  </si>
  <si>
    <t>Q421</t>
  </si>
  <si>
    <t>Revenue y/y</t>
  </si>
  <si>
    <t>Gross Margin</t>
  </si>
  <si>
    <t>R&amp;D y/y</t>
  </si>
  <si>
    <t>S&amp;M Margin</t>
  </si>
  <si>
    <t>G&amp;A y/y</t>
  </si>
  <si>
    <t>D&amp;A y/y</t>
  </si>
  <si>
    <t>Operating Margin</t>
  </si>
  <si>
    <t>Net Margin</t>
  </si>
  <si>
    <t>Maturity</t>
  </si>
  <si>
    <t>Discount rate</t>
  </si>
  <si>
    <t>NPV</t>
  </si>
  <si>
    <t>Net cash</t>
  </si>
  <si>
    <t>Value</t>
  </si>
  <si>
    <t>Per share</t>
  </si>
  <si>
    <t>Current price</t>
  </si>
  <si>
    <t>Variance</t>
  </si>
  <si>
    <t>Consensus</t>
  </si>
  <si>
    <t>Heavily overvalued</t>
  </si>
  <si>
    <t>(Q324) 10-Q's contains good info on quantum</t>
  </si>
  <si>
    <t>Q125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</si>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</sst>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3" fontId="1" fillId="0" borderId="0" xfId="0" applyNumberFormat="1" applyFont="1"/>
    <xf numFmtId="9" fontId="1" fillId="0" borderId="0" xfId="0" applyNumberFormat="1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30480</xdr:colOff>
      <xdr:row>0</xdr:row>
      <xdr:rowOff>0</xdr:rowOff>
    </xdr:from>
    <xdr:to>
      <xdr:col>26</xdr:col>
      <xdr:colOff>30480</xdr:colOff>
      <xdr:row>33</xdr:row>
      <xdr:rowOff>83820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9251593-FDE7-4306-4D03-99BD67B9CBEA}"/>
            </a:ext>
          </a:extLst>
        </xdr:cNvPr>
        <xdr:cNvCxnSpPr/>
      </xdr:nvCxnSpPr>
      <xdr:spPr>
        <a:xfrm>
          <a:off x="14317980" y="0"/>
          <a:ext cx="0" cy="61188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22860</xdr:colOff>
      <xdr:row>0</xdr:row>
      <xdr:rowOff>0</xdr:rowOff>
    </xdr:from>
    <xdr:to>
      <xdr:col>17</xdr:col>
      <xdr:colOff>22860</xdr:colOff>
      <xdr:row>33</xdr:row>
      <xdr:rowOff>91440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832E068-B88A-9821-303D-BB9E41A16FAE}"/>
            </a:ext>
          </a:extLst>
        </xdr:cNvPr>
        <xdr:cNvCxnSpPr/>
      </xdr:nvCxnSpPr>
      <xdr:spPr>
        <a:xfrm>
          <a:off x="11262360" y="0"/>
          <a:ext cx="0" cy="61264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6BC5A-5797-4F89-A935-C61FD59BE6EE}">
  <dimension ref="B2:K10"/>
  <sheetViews>
    <sheetView workbookViewId="0">
      <selection activeCell="D4" sqref="D4"/>
    </sheetView>
  </sheetViews>
  <sheetFormatPr defaultRowHeight="14.4" x14ac:dyDescent="0.3"/>
  <cols>
    <col min="5" max="7" width="13.109375" style="2" customWidth="1"/>
  </cols>
  <sheetData>
    <row r="2" spans="2:11" x14ac:dyDescent="0.3">
      <c r="E2" s="2" t="s">
        <v>8</v>
      </c>
      <c r="F2" s="2" t="s">
        <v>9</v>
      </c>
      <c r="G2" s="2" t="s">
        <v>10</v>
      </c>
    </row>
    <row r="3" spans="2:11" x14ac:dyDescent="0.3">
      <c r="B3" s="1" t="s">
        <v>0</v>
      </c>
      <c r="C3" t="s">
        <v>1</v>
      </c>
      <c r="D3" s="4">
        <v>22.57</v>
      </c>
      <c r="E3" s="3">
        <v>45729</v>
      </c>
      <c r="F3" s="3">
        <f ca="1">TODAY()</f>
        <v>45745</v>
      </c>
      <c r="G3" s="3">
        <v>45804</v>
      </c>
    </row>
    <row r="4" spans="2:11" x14ac:dyDescent="0.3">
      <c r="C4" t="s">
        <v>2</v>
      </c>
      <c r="D4" s="5">
        <f>217.9</f>
        <v>217.9</v>
      </c>
    </row>
    <row r="5" spans="2:11" x14ac:dyDescent="0.3">
      <c r="C5" t="s">
        <v>3</v>
      </c>
      <c r="D5" s="5">
        <f>D3*D4</f>
        <v>4918.0030000000006</v>
      </c>
    </row>
    <row r="6" spans="2:11" x14ac:dyDescent="0.3">
      <c r="C6" t="s">
        <v>4</v>
      </c>
      <c r="D6" s="5">
        <f>54.9+285.9+23.5</f>
        <v>364.29999999999995</v>
      </c>
    </row>
    <row r="7" spans="2:11" x14ac:dyDescent="0.3">
      <c r="C7" t="s">
        <v>5</v>
      </c>
      <c r="D7" s="5">
        <v>0</v>
      </c>
    </row>
    <row r="8" spans="2:11" x14ac:dyDescent="0.3">
      <c r="C8" t="s">
        <v>6</v>
      </c>
      <c r="D8" s="5">
        <f>D6-D7</f>
        <v>364.29999999999995</v>
      </c>
    </row>
    <row r="9" spans="2:11" x14ac:dyDescent="0.3">
      <c r="C9" t="s">
        <v>7</v>
      </c>
      <c r="D9" s="5">
        <f>D5-D8</f>
        <v>4553.7030000000004</v>
      </c>
    </row>
    <row r="10" spans="2:11" x14ac:dyDescent="0.3">
      <c r="K10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69D86-50D1-4FDE-B373-2512B05FF677}">
  <dimension ref="B2:EZ31"/>
  <sheetViews>
    <sheetView tabSelected="1" workbookViewId="0">
      <pane xSplit="2" ySplit="2" topLeftCell="S3" activePane="bottomRight" state="frozen"/>
      <selection pane="topRight" activeCell="C1" sqref="C1"/>
      <selection pane="bottomLeft" activeCell="A3" sqref="A3"/>
      <selection pane="bottomRight" activeCell="AL20" sqref="AL20"/>
    </sheetView>
  </sheetViews>
  <sheetFormatPr defaultRowHeight="14.4" x14ac:dyDescent="0.3"/>
  <cols>
    <col min="2" max="2" width="21.6640625" bestFit="1" customWidth="1"/>
    <col min="3" max="6" width="8.88671875" customWidth="1"/>
    <col min="41" max="41" width="13.109375" customWidth="1"/>
    <col min="42" max="42" width="16.44140625" bestFit="1" customWidth="1"/>
  </cols>
  <sheetData>
    <row r="2" spans="2:38" x14ac:dyDescent="0.3">
      <c r="C2" s="6" t="s">
        <v>40</v>
      </c>
      <c r="D2" s="6" t="s">
        <v>41</v>
      </c>
      <c r="E2" s="6" t="s">
        <v>42</v>
      </c>
      <c r="F2" s="6" t="s">
        <v>43</v>
      </c>
      <c r="G2" s="6" t="s">
        <v>12</v>
      </c>
      <c r="H2" s="6" t="s">
        <v>13</v>
      </c>
      <c r="I2" s="6" t="s">
        <v>14</v>
      </c>
      <c r="J2" s="6" t="s">
        <v>15</v>
      </c>
      <c r="K2" s="6" t="s">
        <v>16</v>
      </c>
      <c r="L2" s="6" t="s">
        <v>17</v>
      </c>
      <c r="M2" s="6" t="s">
        <v>18</v>
      </c>
      <c r="N2" s="6" t="s">
        <v>19</v>
      </c>
      <c r="O2" s="6" t="s">
        <v>20</v>
      </c>
      <c r="P2" s="6" t="s">
        <v>21</v>
      </c>
      <c r="Q2" s="6" t="s">
        <v>22</v>
      </c>
      <c r="R2" s="6" t="s">
        <v>23</v>
      </c>
      <c r="S2" s="6" t="s">
        <v>63</v>
      </c>
      <c r="T2" s="6" t="s">
        <v>64</v>
      </c>
      <c r="U2" s="6" t="s">
        <v>65</v>
      </c>
      <c r="V2" s="6" t="s">
        <v>66</v>
      </c>
      <c r="X2">
        <v>2021</v>
      </c>
      <c r="Y2">
        <v>2022</v>
      </c>
      <c r="Z2">
        <v>2023</v>
      </c>
      <c r="AA2">
        <v>2024</v>
      </c>
      <c r="AB2">
        <v>2025</v>
      </c>
      <c r="AC2">
        <v>2026</v>
      </c>
      <c r="AD2">
        <v>2027</v>
      </c>
      <c r="AE2">
        <v>2028</v>
      </c>
      <c r="AF2">
        <v>2029</v>
      </c>
      <c r="AG2">
        <v>2030</v>
      </c>
      <c r="AH2">
        <v>2031</v>
      </c>
      <c r="AI2">
        <v>2032</v>
      </c>
      <c r="AJ2">
        <v>2033</v>
      </c>
      <c r="AK2">
        <v>2034</v>
      </c>
      <c r="AL2">
        <v>2035</v>
      </c>
    </row>
    <row r="3" spans="2:38" s="1" customFormat="1" x14ac:dyDescent="0.3">
      <c r="B3" s="1" t="s">
        <v>11</v>
      </c>
      <c r="C3" s="8">
        <v>0.1</v>
      </c>
      <c r="D3" s="8">
        <v>0.1</v>
      </c>
      <c r="E3" s="8">
        <v>0.2</v>
      </c>
      <c r="F3" s="8">
        <v>1.6</v>
      </c>
      <c r="G3" s="8">
        <v>2</v>
      </c>
      <c r="H3" s="8">
        <v>2.6</v>
      </c>
      <c r="I3" s="8">
        <v>2.8</v>
      </c>
      <c r="J3" s="8">
        <v>3.8</v>
      </c>
      <c r="K3" s="8">
        <v>4.3</v>
      </c>
      <c r="L3" s="8">
        <v>5.5</v>
      </c>
      <c r="M3" s="8">
        <v>6.1</v>
      </c>
      <c r="N3" s="8">
        <v>6.1</v>
      </c>
      <c r="O3" s="8">
        <v>7.6</v>
      </c>
      <c r="P3" s="8">
        <v>11.4</v>
      </c>
      <c r="Q3" s="8">
        <v>12.4</v>
      </c>
      <c r="R3" s="8">
        <v>11.7</v>
      </c>
      <c r="S3" s="8">
        <v>7.5</v>
      </c>
      <c r="T3" s="8">
        <v>22</v>
      </c>
      <c r="U3" s="8">
        <v>24</v>
      </c>
      <c r="V3" s="8">
        <v>26</v>
      </c>
      <c r="W3" s="8"/>
      <c r="X3" s="8">
        <f>SUM(C3:F3)</f>
        <v>2</v>
      </c>
      <c r="Y3" s="8">
        <f>SUM(G3:J3)</f>
        <v>11.2</v>
      </c>
      <c r="Z3" s="8">
        <f>SUM(K3:N3)</f>
        <v>22</v>
      </c>
      <c r="AA3" s="8">
        <f>SUM(O3:R3)</f>
        <v>43.099999999999994</v>
      </c>
      <c r="AB3" s="8">
        <f>AA3*1.95</f>
        <v>84.044999999999987</v>
      </c>
      <c r="AC3" s="8">
        <f>AB3*1.8</f>
        <v>151.28099999999998</v>
      </c>
      <c r="AD3" s="8">
        <f>AC3*1.7</f>
        <v>257.17769999999996</v>
      </c>
      <c r="AE3" s="8">
        <f>AD3*1.6</f>
        <v>411.48431999999997</v>
      </c>
      <c r="AF3" s="8">
        <f>AE3*1.5</f>
        <v>617.22647999999992</v>
      </c>
      <c r="AG3" s="8">
        <f>AF3*1.45</f>
        <v>894.97839599999986</v>
      </c>
      <c r="AH3" s="8">
        <f>AG3*1.25</f>
        <v>1118.7229949999999</v>
      </c>
      <c r="AI3" s="8">
        <f>AH3*1.2</f>
        <v>1342.4675939999997</v>
      </c>
      <c r="AJ3" s="8">
        <f>AI3*1.15</f>
        <v>1543.8377330999995</v>
      </c>
      <c r="AK3" s="8">
        <f>AJ3*1.1</f>
        <v>1698.2215064099996</v>
      </c>
      <c r="AL3" s="8">
        <f>AK3*1.05</f>
        <v>1783.1325817304996</v>
      </c>
    </row>
    <row r="4" spans="2:38" x14ac:dyDescent="0.3">
      <c r="B4" t="s">
        <v>24</v>
      </c>
      <c r="C4" s="5">
        <v>0.2</v>
      </c>
      <c r="D4" s="5">
        <v>0.3</v>
      </c>
      <c r="E4" s="5">
        <v>0.2</v>
      </c>
      <c r="F4" s="5">
        <v>0.3</v>
      </c>
      <c r="G4" s="5">
        <v>0.6</v>
      </c>
      <c r="H4" s="5">
        <v>0.7</v>
      </c>
      <c r="I4" s="5">
        <v>0.7</v>
      </c>
      <c r="J4" s="5">
        <v>0.9</v>
      </c>
      <c r="K4" s="5">
        <v>1</v>
      </c>
      <c r="L4" s="5">
        <v>1.9</v>
      </c>
      <c r="M4" s="5">
        <v>2</v>
      </c>
      <c r="N4" s="5">
        <v>3.2</v>
      </c>
      <c r="O4" s="5">
        <v>3.4</v>
      </c>
      <c r="P4" s="5">
        <v>5.6</v>
      </c>
      <c r="Q4" s="5">
        <v>6.5</v>
      </c>
      <c r="R4" s="5">
        <v>5</v>
      </c>
      <c r="S4" s="5">
        <f>S3-S5</f>
        <v>3.5999999999999996</v>
      </c>
      <c r="T4" s="5">
        <f t="shared" ref="T4:V4" si="0">T3-T5</f>
        <v>10.559999999999999</v>
      </c>
      <c r="U4" s="5">
        <f t="shared" si="0"/>
        <v>11.52</v>
      </c>
      <c r="V4" s="5">
        <f t="shared" si="0"/>
        <v>12.48</v>
      </c>
      <c r="X4" s="5">
        <f>SUM(C4:F4)</f>
        <v>1</v>
      </c>
      <c r="Y4" s="5">
        <f>SUM(G4:J4)</f>
        <v>2.9</v>
      </c>
      <c r="Z4" s="5">
        <f>SUM(K4:N4)</f>
        <v>8.1000000000000014</v>
      </c>
      <c r="AA4" s="5">
        <f>SUM(O4:R4)</f>
        <v>20.5</v>
      </c>
      <c r="AB4" s="5">
        <f>AB3-AB5</f>
        <v>42.022499999999994</v>
      </c>
      <c r="AC4" s="5">
        <f t="shared" ref="AC4:AL4" si="1">AC3-AC5</f>
        <v>74.127689999999987</v>
      </c>
      <c r="AD4" s="5">
        <f t="shared" si="1"/>
        <v>123.44529599999998</v>
      </c>
      <c r="AE4" s="5">
        <f t="shared" si="1"/>
        <v>197.51247359999996</v>
      </c>
      <c r="AF4" s="5">
        <f t="shared" si="1"/>
        <v>283.92418079999993</v>
      </c>
      <c r="AG4" s="5">
        <f t="shared" si="1"/>
        <v>393.79049423999987</v>
      </c>
      <c r="AH4" s="5">
        <f t="shared" si="1"/>
        <v>469.86365790000002</v>
      </c>
      <c r="AI4" s="5">
        <f t="shared" si="1"/>
        <v>536.98703759999989</v>
      </c>
      <c r="AJ4" s="5">
        <f t="shared" si="1"/>
        <v>586.65833857799976</v>
      </c>
      <c r="AK4" s="5">
        <f t="shared" si="1"/>
        <v>628.34195737169989</v>
      </c>
      <c r="AL4" s="5">
        <f t="shared" si="1"/>
        <v>641.92772942297984</v>
      </c>
    </row>
    <row r="5" spans="2:38" s="1" customFormat="1" x14ac:dyDescent="0.3">
      <c r="B5" s="1" t="s">
        <v>25</v>
      </c>
      <c r="C5" s="8">
        <f t="shared" ref="C5:R5" si="2">C3-C4</f>
        <v>-0.1</v>
      </c>
      <c r="D5" s="8">
        <f t="shared" si="2"/>
        <v>-0.19999999999999998</v>
      </c>
      <c r="E5" s="8">
        <f t="shared" si="2"/>
        <v>0</v>
      </c>
      <c r="F5" s="8">
        <f t="shared" si="2"/>
        <v>1.3</v>
      </c>
      <c r="G5" s="8">
        <f t="shared" si="2"/>
        <v>1.4</v>
      </c>
      <c r="H5" s="8">
        <f t="shared" si="2"/>
        <v>1.9000000000000001</v>
      </c>
      <c r="I5" s="8">
        <f t="shared" si="2"/>
        <v>2.0999999999999996</v>
      </c>
      <c r="J5" s="8">
        <f t="shared" si="2"/>
        <v>2.9</v>
      </c>
      <c r="K5" s="8">
        <f t="shared" si="2"/>
        <v>3.3</v>
      </c>
      <c r="L5" s="8">
        <f t="shared" si="2"/>
        <v>3.6</v>
      </c>
      <c r="M5" s="8">
        <f t="shared" si="2"/>
        <v>4.0999999999999996</v>
      </c>
      <c r="N5" s="8">
        <f t="shared" si="2"/>
        <v>2.8999999999999995</v>
      </c>
      <c r="O5" s="8">
        <f t="shared" si="2"/>
        <v>4.1999999999999993</v>
      </c>
      <c r="P5" s="8">
        <f t="shared" si="2"/>
        <v>5.8000000000000007</v>
      </c>
      <c r="Q5" s="8">
        <f t="shared" si="2"/>
        <v>5.9</v>
      </c>
      <c r="R5" s="8">
        <f t="shared" si="2"/>
        <v>6.6999999999999993</v>
      </c>
      <c r="S5" s="8">
        <f>S3*0.52</f>
        <v>3.9000000000000004</v>
      </c>
      <c r="T5" s="8">
        <f t="shared" ref="T5:V5" si="3">T3*0.52</f>
        <v>11.440000000000001</v>
      </c>
      <c r="U5" s="8">
        <f t="shared" si="3"/>
        <v>12.48</v>
      </c>
      <c r="V5" s="8">
        <f t="shared" si="3"/>
        <v>13.52</v>
      </c>
      <c r="X5" s="8">
        <f>X3-X4</f>
        <v>1</v>
      </c>
      <c r="Y5" s="8">
        <f>Y3-Y4</f>
        <v>8.2999999999999989</v>
      </c>
      <c r="Z5" s="8">
        <f>Z3-Z4</f>
        <v>13.899999999999999</v>
      </c>
      <c r="AA5" s="8">
        <f>AA3-AA4</f>
        <v>22.599999999999994</v>
      </c>
      <c r="AB5" s="8">
        <f>AB3*0.5</f>
        <v>42.022499999999994</v>
      </c>
      <c r="AC5" s="8">
        <f>AC3*0.51</f>
        <v>77.153309999999991</v>
      </c>
      <c r="AD5" s="8">
        <f>AD3*0.52</f>
        <v>133.73240399999997</v>
      </c>
      <c r="AE5" s="8">
        <f>AE3*0.52</f>
        <v>213.9718464</v>
      </c>
      <c r="AF5" s="8">
        <f>AF3*0.54</f>
        <v>333.30229919999999</v>
      </c>
      <c r="AG5" s="8">
        <f>AG3*0.56</f>
        <v>501.18790175999999</v>
      </c>
      <c r="AH5" s="8">
        <f>AH3*0.58</f>
        <v>648.85933709999983</v>
      </c>
      <c r="AI5" s="8">
        <f>AI3*0.6</f>
        <v>805.48055639999984</v>
      </c>
      <c r="AJ5" s="8">
        <f>AJ3*0.62</f>
        <v>957.17939452199971</v>
      </c>
      <c r="AK5" s="8">
        <f>AK3*0.63</f>
        <v>1069.8795490382997</v>
      </c>
      <c r="AL5" s="8">
        <f>AL3*0.64</f>
        <v>1141.2048523075198</v>
      </c>
    </row>
    <row r="6" spans="2:38" x14ac:dyDescent="0.3">
      <c r="B6" t="s">
        <v>26</v>
      </c>
      <c r="C6" s="5">
        <v>3.7</v>
      </c>
      <c r="D6" s="5">
        <v>5.5</v>
      </c>
      <c r="E6" s="5">
        <v>6.2</v>
      </c>
      <c r="F6" s="5">
        <v>4.9000000000000004</v>
      </c>
      <c r="G6" s="5">
        <v>7.3</v>
      </c>
      <c r="H6" s="5">
        <v>9.6999999999999993</v>
      </c>
      <c r="I6" s="5">
        <v>13.3</v>
      </c>
      <c r="J6" s="5">
        <v>13.7</v>
      </c>
      <c r="K6" s="5">
        <v>16.2</v>
      </c>
      <c r="L6" s="5">
        <v>19.899999999999999</v>
      </c>
      <c r="M6" s="5">
        <v>24.6</v>
      </c>
      <c r="N6" s="5">
        <v>31.6</v>
      </c>
      <c r="O6" s="5">
        <v>32.4</v>
      </c>
      <c r="P6" s="5">
        <v>31.2</v>
      </c>
      <c r="Q6" s="5">
        <v>33.200000000000003</v>
      </c>
      <c r="R6" s="5">
        <v>40.1</v>
      </c>
      <c r="S6" s="5"/>
      <c r="T6" s="5"/>
      <c r="U6" s="5"/>
      <c r="V6" s="5"/>
      <c r="X6" s="5">
        <f>SUM(C6:F6)</f>
        <v>20.299999999999997</v>
      </c>
      <c r="Y6" s="5">
        <f>SUM(G6:J6)</f>
        <v>44</v>
      </c>
      <c r="Z6" s="5">
        <f>SUM(K6:N6)</f>
        <v>92.3</v>
      </c>
      <c r="AA6" s="5">
        <f>SUM(O6:R6)</f>
        <v>136.9</v>
      </c>
      <c r="AB6" s="5">
        <f>AA6*1.18</f>
        <v>161.542</v>
      </c>
      <c r="AC6" s="5">
        <f>AB6*1.12</f>
        <v>180.92704000000001</v>
      </c>
      <c r="AD6" s="5">
        <f>AC6*1.07</f>
        <v>193.59193280000002</v>
      </c>
      <c r="AE6" s="5">
        <f>AD6*1.05</f>
        <v>203.27152944000002</v>
      </c>
      <c r="AF6" s="5">
        <f t="shared" ref="AF6:AL6" si="4">AE6*1.05</f>
        <v>213.43510591200004</v>
      </c>
      <c r="AG6" s="5">
        <f t="shared" si="4"/>
        <v>224.10686120760005</v>
      </c>
      <c r="AH6" s="5">
        <f t="shared" si="4"/>
        <v>235.31220426798006</v>
      </c>
      <c r="AI6" s="5">
        <f t="shared" si="4"/>
        <v>247.07781448137908</v>
      </c>
      <c r="AJ6" s="5">
        <f t="shared" si="4"/>
        <v>259.43170520544805</v>
      </c>
      <c r="AK6" s="5">
        <f t="shared" si="4"/>
        <v>272.40329046572049</v>
      </c>
      <c r="AL6" s="5">
        <f t="shared" si="4"/>
        <v>286.02345498900655</v>
      </c>
    </row>
    <row r="7" spans="2:38" x14ac:dyDescent="0.3">
      <c r="B7" t="s">
        <v>27</v>
      </c>
      <c r="C7" s="5">
        <v>0.2</v>
      </c>
      <c r="D7" s="5">
        <v>0.9</v>
      </c>
      <c r="E7" s="5">
        <v>1.3</v>
      </c>
      <c r="F7" s="5">
        <v>0.8</v>
      </c>
      <c r="G7" s="5">
        <v>1.9</v>
      </c>
      <c r="H7" s="5">
        <v>2.1</v>
      </c>
      <c r="I7" s="5">
        <v>2</v>
      </c>
      <c r="J7" s="5">
        <v>2.4</v>
      </c>
      <c r="K7" s="5">
        <v>2.7</v>
      </c>
      <c r="L7" s="5">
        <v>3.6</v>
      </c>
      <c r="M7" s="5">
        <v>5</v>
      </c>
      <c r="N7" s="5">
        <v>7</v>
      </c>
      <c r="O7" s="5">
        <v>6.7</v>
      </c>
      <c r="P7" s="5">
        <v>6.1</v>
      </c>
      <c r="Q7" s="5">
        <v>6.6</v>
      </c>
      <c r="R7" s="5">
        <v>8.9</v>
      </c>
      <c r="S7" s="5"/>
      <c r="T7" s="5"/>
      <c r="U7" s="5"/>
      <c r="V7" s="5"/>
      <c r="X7" s="5">
        <f>SUM(C7:F7)</f>
        <v>3.2</v>
      </c>
      <c r="Y7" s="5">
        <f>SUM(G7:J7)</f>
        <v>8.4</v>
      </c>
      <c r="Z7" s="5">
        <f>SUM(K7:N7)</f>
        <v>18.3</v>
      </c>
      <c r="AA7" s="5">
        <f>SUM(O7:R7)</f>
        <v>28.299999999999997</v>
      </c>
      <c r="AB7" s="5">
        <f>AB3*0.4</f>
        <v>33.617999999999995</v>
      </c>
      <c r="AC7" s="5">
        <f>AC3*0.3</f>
        <v>45.384299999999989</v>
      </c>
      <c r="AD7" s="5">
        <f>AD3*0.26</f>
        <v>66.866201999999987</v>
      </c>
      <c r="AE7" s="5">
        <f>AE3*0.24</f>
        <v>98.756236799999982</v>
      </c>
      <c r="AF7" s="5">
        <f>AF3*0.22</f>
        <v>135.78982559999997</v>
      </c>
      <c r="AG7" s="5">
        <f>AG3*0.2</f>
        <v>178.99567919999998</v>
      </c>
      <c r="AH7" s="5">
        <f>AH3*0.18</f>
        <v>201.37013909999996</v>
      </c>
      <c r="AI7" s="5">
        <f>AI3*0.17</f>
        <v>228.21949097999996</v>
      </c>
      <c r="AJ7" s="5">
        <f>AJ3*0.16</f>
        <v>247.01403729599991</v>
      </c>
      <c r="AK7" s="5">
        <f>AK3*0.15</f>
        <v>254.73322596149993</v>
      </c>
      <c r="AL7" s="5">
        <f>AL3*0.14</f>
        <v>249.63856144226997</v>
      </c>
    </row>
    <row r="8" spans="2:38" x14ac:dyDescent="0.3">
      <c r="B8" t="s">
        <v>28</v>
      </c>
      <c r="C8" s="5">
        <v>3</v>
      </c>
      <c r="D8" s="5">
        <v>2.9</v>
      </c>
      <c r="E8" s="5">
        <v>2.5</v>
      </c>
      <c r="F8" s="5">
        <v>5.4</v>
      </c>
      <c r="G8" s="5">
        <v>9.1999999999999993</v>
      </c>
      <c r="H8" s="5">
        <v>7.6</v>
      </c>
      <c r="I8" s="5">
        <v>10.1</v>
      </c>
      <c r="J8" s="5">
        <v>9.1</v>
      </c>
      <c r="K8" s="5">
        <v>10.6</v>
      </c>
      <c r="L8" s="5">
        <v>10.9</v>
      </c>
      <c r="M8" s="5">
        <v>13.9</v>
      </c>
      <c r="N8" s="5">
        <v>15.3</v>
      </c>
      <c r="O8" s="5">
        <v>14</v>
      </c>
      <c r="P8" s="5">
        <v>13.1</v>
      </c>
      <c r="Q8" s="5">
        <v>14.3</v>
      </c>
      <c r="R8" s="5">
        <v>29.7</v>
      </c>
      <c r="S8" s="5"/>
      <c r="T8" s="5"/>
      <c r="U8" s="5"/>
      <c r="V8" s="5"/>
      <c r="X8" s="5">
        <f>SUM(C8:F8)</f>
        <v>13.8</v>
      </c>
      <c r="Y8" s="5">
        <f>SUM(G8:J8)</f>
        <v>36</v>
      </c>
      <c r="Z8" s="5">
        <f>SUM(K8:N8)</f>
        <v>50.7</v>
      </c>
      <c r="AA8" s="5">
        <f>SUM(O8:R8)</f>
        <v>71.100000000000009</v>
      </c>
      <c r="AB8" s="5">
        <f>AA8*1.1</f>
        <v>78.210000000000022</v>
      </c>
      <c r="AC8" s="5">
        <f>AB8*1.08</f>
        <v>84.466800000000035</v>
      </c>
      <c r="AD8" s="5">
        <f>AC8*1.06</f>
        <v>89.534808000000041</v>
      </c>
      <c r="AE8" s="5">
        <f>AD8*1.04</f>
        <v>93.116200320000047</v>
      </c>
      <c r="AF8" s="5">
        <f>AE8*1.03</f>
        <v>95.909686329600049</v>
      </c>
      <c r="AG8" s="5">
        <f>AF8*1.02</f>
        <v>97.827880056192058</v>
      </c>
      <c r="AH8" s="5">
        <f t="shared" ref="AH8:AL8" si="5">AG8*1.02</f>
        <v>99.784437657315905</v>
      </c>
      <c r="AI8" s="5">
        <f t="shared" si="5"/>
        <v>101.78012641046223</v>
      </c>
      <c r="AJ8" s="5">
        <f t="shared" si="5"/>
        <v>103.81572893867148</v>
      </c>
      <c r="AK8" s="5">
        <f t="shared" si="5"/>
        <v>105.89204351744492</v>
      </c>
      <c r="AL8" s="5">
        <f t="shared" si="5"/>
        <v>108.00988438779382</v>
      </c>
    </row>
    <row r="9" spans="2:38" x14ac:dyDescent="0.3">
      <c r="B9" t="s">
        <v>29</v>
      </c>
      <c r="C9" s="5">
        <v>0.4</v>
      </c>
      <c r="D9" s="5">
        <v>0.5</v>
      </c>
      <c r="E9" s="5">
        <v>0.6</v>
      </c>
      <c r="F9" s="5">
        <v>1</v>
      </c>
      <c r="G9" s="5">
        <v>1.3</v>
      </c>
      <c r="H9" s="5">
        <v>1.5</v>
      </c>
      <c r="I9" s="5">
        <v>1.5</v>
      </c>
      <c r="J9" s="5">
        <v>1.4</v>
      </c>
      <c r="K9" s="5">
        <v>1.8</v>
      </c>
      <c r="L9" s="5">
        <v>2.2999999999999998</v>
      </c>
      <c r="M9" s="5">
        <v>2.7</v>
      </c>
      <c r="N9" s="5">
        <v>3.5</v>
      </c>
      <c r="O9" s="5">
        <v>4</v>
      </c>
      <c r="P9" s="5">
        <v>4.3</v>
      </c>
      <c r="Q9" s="5">
        <v>4.9000000000000004</v>
      </c>
      <c r="R9" s="5">
        <v>5.5</v>
      </c>
      <c r="S9" s="5"/>
      <c r="T9" s="5"/>
      <c r="U9" s="5"/>
      <c r="V9" s="5"/>
      <c r="X9" s="5">
        <f>SUM(C9:F9)</f>
        <v>2.5</v>
      </c>
      <c r="Y9" s="5">
        <f>SUM(G9:J9)</f>
        <v>5.6999999999999993</v>
      </c>
      <c r="Z9" s="5">
        <f>SUM(K9:N9)</f>
        <v>10.3</v>
      </c>
      <c r="AA9" s="5">
        <f>SUM(O9:R9)</f>
        <v>18.700000000000003</v>
      </c>
      <c r="AB9" s="5">
        <f>AA9*1.5</f>
        <v>28.050000000000004</v>
      </c>
      <c r="AC9" s="5">
        <f>AB9*1.25</f>
        <v>35.062500000000007</v>
      </c>
      <c r="AD9" s="5">
        <f>AC9*1.1</f>
        <v>38.568750000000009</v>
      </c>
      <c r="AE9" s="5">
        <f>AD9*1.07</f>
        <v>41.268562500000009</v>
      </c>
      <c r="AF9" s="5">
        <f>AE9*1.03</f>
        <v>42.506619375000007</v>
      </c>
      <c r="AG9" s="5">
        <f t="shared" ref="AG9:AL9" si="6">AF9*1.03</f>
        <v>43.781817956250009</v>
      </c>
      <c r="AH9" s="5">
        <f t="shared" si="6"/>
        <v>45.095272494937511</v>
      </c>
      <c r="AI9" s="5">
        <f t="shared" si="6"/>
        <v>46.448130669785634</v>
      </c>
      <c r="AJ9" s="5">
        <f t="shared" si="6"/>
        <v>47.841574589879201</v>
      </c>
      <c r="AK9" s="5">
        <f t="shared" si="6"/>
        <v>49.276821827575581</v>
      </c>
      <c r="AL9" s="5">
        <f t="shared" si="6"/>
        <v>50.755126482402851</v>
      </c>
    </row>
    <row r="10" spans="2:38" x14ac:dyDescent="0.3">
      <c r="B10" t="s">
        <v>30</v>
      </c>
      <c r="C10" s="5">
        <f t="shared" ref="C10:R10" si="7">SUM(C6:C9)</f>
        <v>7.3000000000000007</v>
      </c>
      <c r="D10" s="5">
        <f t="shared" si="7"/>
        <v>9.8000000000000007</v>
      </c>
      <c r="E10" s="5">
        <f t="shared" si="7"/>
        <v>10.6</v>
      </c>
      <c r="F10" s="5">
        <f t="shared" si="7"/>
        <v>12.100000000000001</v>
      </c>
      <c r="G10" s="5">
        <f t="shared" si="7"/>
        <v>19.7</v>
      </c>
      <c r="H10" s="5">
        <f t="shared" si="7"/>
        <v>20.9</v>
      </c>
      <c r="I10" s="5">
        <f t="shared" si="7"/>
        <v>26.9</v>
      </c>
      <c r="J10" s="5">
        <f t="shared" si="7"/>
        <v>26.599999999999994</v>
      </c>
      <c r="K10" s="5">
        <f t="shared" si="7"/>
        <v>31.3</v>
      </c>
      <c r="L10" s="5">
        <f t="shared" si="7"/>
        <v>36.699999999999996</v>
      </c>
      <c r="M10" s="5">
        <f t="shared" si="7"/>
        <v>46.2</v>
      </c>
      <c r="N10" s="5">
        <f t="shared" si="7"/>
        <v>57.400000000000006</v>
      </c>
      <c r="O10" s="5">
        <f t="shared" si="7"/>
        <v>57.1</v>
      </c>
      <c r="P10" s="5">
        <f t="shared" si="7"/>
        <v>54.699999999999996</v>
      </c>
      <c r="Q10" s="5">
        <f t="shared" si="7"/>
        <v>59.000000000000007</v>
      </c>
      <c r="R10" s="5">
        <f t="shared" si="7"/>
        <v>84.2</v>
      </c>
      <c r="S10" s="5"/>
      <c r="T10" s="5"/>
      <c r="U10" s="5"/>
      <c r="V10" s="5"/>
      <c r="X10" s="5">
        <f>SUM(X6:X9)</f>
        <v>39.799999999999997</v>
      </c>
      <c r="Y10" s="5">
        <f>SUM(Y6:Y9)</f>
        <v>94.100000000000009</v>
      </c>
      <c r="Z10" s="5">
        <f>SUM(Z6:Z9)</f>
        <v>171.60000000000002</v>
      </c>
      <c r="AA10" s="5">
        <f>SUM(AA6:AA9)</f>
        <v>255</v>
      </c>
      <c r="AB10" s="5">
        <f t="shared" ref="AB10:AL10" si="8">SUM(AB6:AB9)</f>
        <v>301.42</v>
      </c>
      <c r="AC10" s="5">
        <f t="shared" si="8"/>
        <v>345.84064000000001</v>
      </c>
      <c r="AD10" s="5">
        <f t="shared" si="8"/>
        <v>388.56169280000012</v>
      </c>
      <c r="AE10" s="5">
        <f t="shared" si="8"/>
        <v>436.41252906000011</v>
      </c>
      <c r="AF10" s="5">
        <f t="shared" si="8"/>
        <v>487.64123721660008</v>
      </c>
      <c r="AG10" s="5">
        <f t="shared" si="8"/>
        <v>544.71223842004213</v>
      </c>
      <c r="AH10" s="5">
        <f t="shared" si="8"/>
        <v>581.56205352023346</v>
      </c>
      <c r="AI10" s="5">
        <f t="shared" si="8"/>
        <v>623.52556254162698</v>
      </c>
      <c r="AJ10" s="5">
        <f t="shared" si="8"/>
        <v>658.10304602999861</v>
      </c>
      <c r="AK10" s="5">
        <f t="shared" si="8"/>
        <v>682.30538177224082</v>
      </c>
      <c r="AL10" s="5">
        <f t="shared" si="8"/>
        <v>694.42702730147312</v>
      </c>
    </row>
    <row r="11" spans="2:38" s="1" customFormat="1" x14ac:dyDescent="0.3">
      <c r="B11" s="1" t="s">
        <v>31</v>
      </c>
      <c r="C11" s="8">
        <f t="shared" ref="C11:R11" si="9">C5-C10</f>
        <v>-7.4</v>
      </c>
      <c r="D11" s="8">
        <f t="shared" si="9"/>
        <v>-10</v>
      </c>
      <c r="E11" s="8">
        <f t="shared" si="9"/>
        <v>-10.6</v>
      </c>
      <c r="F11" s="8">
        <f t="shared" si="9"/>
        <v>-10.8</v>
      </c>
      <c r="G11" s="8">
        <f t="shared" si="9"/>
        <v>-18.3</v>
      </c>
      <c r="H11" s="8">
        <f t="shared" si="9"/>
        <v>-19</v>
      </c>
      <c r="I11" s="8">
        <f t="shared" si="9"/>
        <v>-24.799999999999997</v>
      </c>
      <c r="J11" s="8">
        <f t="shared" si="9"/>
        <v>-23.699999999999996</v>
      </c>
      <c r="K11" s="8">
        <f t="shared" si="9"/>
        <v>-28</v>
      </c>
      <c r="L11" s="8">
        <f t="shared" si="9"/>
        <v>-33.099999999999994</v>
      </c>
      <c r="M11" s="8">
        <f t="shared" si="9"/>
        <v>-42.1</v>
      </c>
      <c r="N11" s="8">
        <f t="shared" si="9"/>
        <v>-54.500000000000007</v>
      </c>
      <c r="O11" s="8">
        <f t="shared" si="9"/>
        <v>-52.900000000000006</v>
      </c>
      <c r="P11" s="8">
        <f t="shared" si="9"/>
        <v>-48.899999999999991</v>
      </c>
      <c r="Q11" s="8">
        <f t="shared" si="9"/>
        <v>-53.100000000000009</v>
      </c>
      <c r="R11" s="8">
        <f t="shared" si="9"/>
        <v>-77.5</v>
      </c>
      <c r="S11" s="8"/>
      <c r="T11" s="8"/>
      <c r="U11" s="8"/>
      <c r="V11" s="8"/>
      <c r="X11" s="8">
        <f>X5-X10</f>
        <v>-38.799999999999997</v>
      </c>
      <c r="Y11" s="8">
        <f>Y5-Y10</f>
        <v>-85.800000000000011</v>
      </c>
      <c r="Z11" s="8">
        <f>Z5-Z10</f>
        <v>-157.70000000000002</v>
      </c>
      <c r="AA11" s="8">
        <f>AA5-AA10</f>
        <v>-232.4</v>
      </c>
      <c r="AB11" s="8">
        <f t="shared" ref="AB11:AL11" si="10">AB5-AB10</f>
        <v>-259.39750000000004</v>
      </c>
      <c r="AC11" s="8">
        <f t="shared" si="10"/>
        <v>-268.68733000000003</v>
      </c>
      <c r="AD11" s="8">
        <f t="shared" si="10"/>
        <v>-254.82928880000014</v>
      </c>
      <c r="AE11" s="8">
        <f t="shared" si="10"/>
        <v>-222.44068266000011</v>
      </c>
      <c r="AF11" s="8">
        <f t="shared" si="10"/>
        <v>-154.33893801660008</v>
      </c>
      <c r="AG11" s="8">
        <f t="shared" si="10"/>
        <v>-43.524336660042138</v>
      </c>
      <c r="AH11" s="8">
        <f t="shared" si="10"/>
        <v>67.297283579766372</v>
      </c>
      <c r="AI11" s="8">
        <f t="shared" si="10"/>
        <v>181.95499385837286</v>
      </c>
      <c r="AJ11" s="8">
        <f t="shared" si="10"/>
        <v>299.0763484920011</v>
      </c>
      <c r="AK11" s="8">
        <f t="shared" si="10"/>
        <v>387.57416726605891</v>
      </c>
      <c r="AL11" s="8">
        <f t="shared" si="10"/>
        <v>446.77782500604667</v>
      </c>
    </row>
    <row r="12" spans="2:38" x14ac:dyDescent="0.3">
      <c r="B12" t="s">
        <v>32</v>
      </c>
      <c r="C12" s="5">
        <v>0</v>
      </c>
      <c r="D12" s="5">
        <v>0</v>
      </c>
      <c r="E12" s="5">
        <v>0</v>
      </c>
      <c r="F12" s="5">
        <v>63.3</v>
      </c>
      <c r="G12" s="5">
        <v>-13.4</v>
      </c>
      <c r="H12" s="5">
        <v>-16.100000000000001</v>
      </c>
      <c r="I12" s="5">
        <v>1.2</v>
      </c>
      <c r="J12" s="5">
        <v>-1.8</v>
      </c>
      <c r="K12" s="5">
        <v>3.6</v>
      </c>
      <c r="L12" s="5">
        <v>15.5</v>
      </c>
      <c r="M12" s="5">
        <v>7.6</v>
      </c>
      <c r="N12" s="5">
        <v>-7.6</v>
      </c>
      <c r="O12" s="5">
        <v>-8.6</v>
      </c>
      <c r="P12" s="5">
        <v>-6.6</v>
      </c>
      <c r="Q12" s="5">
        <v>3.9</v>
      </c>
      <c r="R12" s="5">
        <v>128.5</v>
      </c>
      <c r="S12" s="5"/>
      <c r="T12" s="5"/>
      <c r="U12" s="5"/>
      <c r="V12" s="5"/>
      <c r="X12" s="5">
        <f>SUM(C12:F12)</f>
        <v>63.3</v>
      </c>
      <c r="Y12" s="5">
        <f>SUM(G12:J12)</f>
        <v>-30.1</v>
      </c>
      <c r="Z12" s="5">
        <f>SUM(K12:N12)</f>
        <v>19.100000000000001</v>
      </c>
      <c r="AA12" s="5">
        <f>SUM(O12:R12)</f>
        <v>117.2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</row>
    <row r="13" spans="2:38" x14ac:dyDescent="0.3">
      <c r="B13" t="s">
        <v>33</v>
      </c>
      <c r="C13" s="5">
        <v>0</v>
      </c>
      <c r="D13" s="5">
        <v>0</v>
      </c>
      <c r="E13" s="5">
        <v>0</v>
      </c>
      <c r="F13" s="5">
        <v>-0.1</v>
      </c>
      <c r="G13" s="5">
        <v>-0.6</v>
      </c>
      <c r="H13" s="5">
        <v>-1.3</v>
      </c>
      <c r="I13" s="5">
        <v>-2.1</v>
      </c>
      <c r="J13" s="5">
        <v>-3.2</v>
      </c>
      <c r="K13" s="5">
        <v>-4.2</v>
      </c>
      <c r="L13" s="5">
        <v>-4.9000000000000004</v>
      </c>
      <c r="M13" s="5">
        <v>-5</v>
      </c>
      <c r="N13" s="5">
        <v>-5.2</v>
      </c>
      <c r="O13" s="5">
        <v>-4.8</v>
      </c>
      <c r="P13" s="5">
        <v>-4.8</v>
      </c>
      <c r="Q13" s="5">
        <v>-4.5</v>
      </c>
      <c r="R13" s="5">
        <v>-4.0999999999999996</v>
      </c>
      <c r="S13" s="5"/>
      <c r="T13" s="5"/>
      <c r="U13" s="5"/>
      <c r="V13" s="5"/>
      <c r="X13" s="5">
        <f>SUM(C13:F13)</f>
        <v>-0.1</v>
      </c>
      <c r="Y13" s="5">
        <f>SUM(G13:J13)</f>
        <v>-7.2</v>
      </c>
      <c r="Z13" s="5">
        <f>SUM(K13:N13)</f>
        <v>-19.3</v>
      </c>
      <c r="AA13" s="5">
        <f>SUM(O13:R13)</f>
        <v>-18.2</v>
      </c>
      <c r="AB13" s="5">
        <f>AA13*1.03</f>
        <v>-18.745999999999999</v>
      </c>
      <c r="AC13" s="5">
        <f t="shared" ref="AC13:AL13" si="11">AB13*1.03</f>
        <v>-19.30838</v>
      </c>
      <c r="AD13" s="5">
        <f t="shared" si="11"/>
        <v>-19.8876314</v>
      </c>
      <c r="AE13" s="5">
        <f t="shared" si="11"/>
        <v>-20.484260341999999</v>
      </c>
      <c r="AF13" s="5">
        <f t="shared" si="11"/>
        <v>-21.098788152259999</v>
      </c>
      <c r="AG13" s="5">
        <f t="shared" si="11"/>
        <v>-21.731751796827801</v>
      </c>
      <c r="AH13" s="5">
        <f t="shared" si="11"/>
        <v>-22.383704350732636</v>
      </c>
      <c r="AI13" s="5">
        <f t="shared" si="11"/>
        <v>-23.055215481254617</v>
      </c>
      <c r="AJ13" s="5">
        <f t="shared" si="11"/>
        <v>-23.746871945692256</v>
      </c>
      <c r="AK13" s="5">
        <f t="shared" si="11"/>
        <v>-24.459278104063024</v>
      </c>
      <c r="AL13" s="5">
        <f t="shared" si="11"/>
        <v>-25.193056447184915</v>
      </c>
    </row>
    <row r="14" spans="2:38" x14ac:dyDescent="0.3">
      <c r="B14" t="s">
        <v>34</v>
      </c>
      <c r="C14" s="5">
        <v>0</v>
      </c>
      <c r="D14" s="5">
        <v>0</v>
      </c>
      <c r="E14" s="5">
        <v>4.3</v>
      </c>
      <c r="F14" s="5">
        <v>0</v>
      </c>
      <c r="G14" s="5">
        <v>0</v>
      </c>
      <c r="H14" s="5">
        <v>-0.1</v>
      </c>
      <c r="I14" s="5">
        <v>0</v>
      </c>
      <c r="J14" s="5">
        <v>0</v>
      </c>
      <c r="K14" s="5">
        <v>-0.1</v>
      </c>
      <c r="L14" s="5">
        <v>0</v>
      </c>
      <c r="M14" s="5">
        <v>-0.1</v>
      </c>
      <c r="N14" s="5">
        <v>0.2</v>
      </c>
      <c r="O14" s="5">
        <v>0.1</v>
      </c>
      <c r="P14" s="5">
        <v>0.1</v>
      </c>
      <c r="Q14" s="5">
        <v>0</v>
      </c>
      <c r="R14" s="5">
        <v>0.1</v>
      </c>
      <c r="S14" s="5"/>
      <c r="T14" s="5"/>
      <c r="U14" s="5"/>
      <c r="V14" s="5"/>
      <c r="X14" s="5">
        <f>SUM(C14:F14)</f>
        <v>4.3</v>
      </c>
      <c r="Y14" s="5">
        <f>SUM(G14:J14)</f>
        <v>-0.1</v>
      </c>
      <c r="Z14" s="5">
        <f>SUM(K14:N14)</f>
        <v>0</v>
      </c>
      <c r="AA14" s="5">
        <f>SUM(O14:R14)</f>
        <v>0.30000000000000004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</row>
    <row r="15" spans="2:38" x14ac:dyDescent="0.3">
      <c r="B15" t="s">
        <v>39</v>
      </c>
      <c r="C15" s="5">
        <f t="shared" ref="C15:R15" si="12">SUM(C12:C14)</f>
        <v>0</v>
      </c>
      <c r="D15" s="5">
        <f t="shared" si="12"/>
        <v>0</v>
      </c>
      <c r="E15" s="5">
        <f t="shared" si="12"/>
        <v>4.3</v>
      </c>
      <c r="F15" s="5">
        <f t="shared" si="12"/>
        <v>63.199999999999996</v>
      </c>
      <c r="G15" s="5">
        <f t="shared" si="12"/>
        <v>-14</v>
      </c>
      <c r="H15" s="5">
        <f t="shared" si="12"/>
        <v>-17.500000000000004</v>
      </c>
      <c r="I15" s="5">
        <f t="shared" si="12"/>
        <v>-0.90000000000000013</v>
      </c>
      <c r="J15" s="5">
        <f t="shared" si="12"/>
        <v>-5</v>
      </c>
      <c r="K15" s="5">
        <f t="shared" si="12"/>
        <v>-0.70000000000000007</v>
      </c>
      <c r="L15" s="5">
        <f t="shared" si="12"/>
        <v>10.6</v>
      </c>
      <c r="M15" s="5">
        <f t="shared" si="12"/>
        <v>2.4999999999999996</v>
      </c>
      <c r="N15" s="5">
        <f t="shared" si="12"/>
        <v>-12.600000000000001</v>
      </c>
      <c r="O15" s="5">
        <f t="shared" si="12"/>
        <v>-13.299999999999999</v>
      </c>
      <c r="P15" s="5">
        <f t="shared" si="12"/>
        <v>-11.299999999999999</v>
      </c>
      <c r="Q15" s="5">
        <f t="shared" si="12"/>
        <v>-0.60000000000000009</v>
      </c>
      <c r="R15" s="5">
        <f t="shared" si="12"/>
        <v>124.5</v>
      </c>
      <c r="S15" s="5"/>
      <c r="T15" s="5"/>
      <c r="U15" s="5"/>
      <c r="V15" s="5"/>
      <c r="X15" s="5">
        <f>SUM(X12:X14)</f>
        <v>67.5</v>
      </c>
      <c r="Y15" s="5">
        <f>SUM(Y12:Y14)</f>
        <v>-37.400000000000006</v>
      </c>
      <c r="Z15" s="5">
        <f>SUM(Z12:Z14)</f>
        <v>-0.19999999999999929</v>
      </c>
      <c r="AA15" s="5">
        <f>SUM(AA12:AA14)</f>
        <v>99.3</v>
      </c>
      <c r="AB15" s="5">
        <f t="shared" ref="AB15:AL15" si="13">SUM(AB12:AB14)</f>
        <v>-18.745999999999999</v>
      </c>
      <c r="AC15" s="5">
        <f t="shared" si="13"/>
        <v>-19.30838</v>
      </c>
      <c r="AD15" s="5">
        <f t="shared" si="13"/>
        <v>-19.8876314</v>
      </c>
      <c r="AE15" s="5">
        <f t="shared" si="13"/>
        <v>-20.484260341999999</v>
      </c>
      <c r="AF15" s="5">
        <f t="shared" si="13"/>
        <v>-21.098788152259999</v>
      </c>
      <c r="AG15" s="5">
        <f t="shared" si="13"/>
        <v>-21.731751796827801</v>
      </c>
      <c r="AH15" s="5">
        <f t="shared" si="13"/>
        <v>-22.383704350732636</v>
      </c>
      <c r="AI15" s="5">
        <f t="shared" si="13"/>
        <v>-23.055215481254617</v>
      </c>
      <c r="AJ15" s="5">
        <f t="shared" si="13"/>
        <v>-23.746871945692256</v>
      </c>
      <c r="AK15" s="5">
        <f t="shared" si="13"/>
        <v>-24.459278104063024</v>
      </c>
      <c r="AL15" s="5">
        <f t="shared" si="13"/>
        <v>-25.193056447184915</v>
      </c>
    </row>
    <row r="16" spans="2:38" s="1" customFormat="1" x14ac:dyDescent="0.3">
      <c r="B16" s="1" t="s">
        <v>35</v>
      </c>
      <c r="C16" s="8">
        <f t="shared" ref="C16:R16" si="14">C11-C15</f>
        <v>-7.4</v>
      </c>
      <c r="D16" s="8">
        <f t="shared" si="14"/>
        <v>-10</v>
      </c>
      <c r="E16" s="8">
        <f t="shared" si="14"/>
        <v>-14.899999999999999</v>
      </c>
      <c r="F16" s="8">
        <f t="shared" si="14"/>
        <v>-74</v>
      </c>
      <c r="G16" s="8">
        <f t="shared" si="14"/>
        <v>-4.3000000000000007</v>
      </c>
      <c r="H16" s="8">
        <f t="shared" si="14"/>
        <v>-1.4999999999999964</v>
      </c>
      <c r="I16" s="8">
        <f t="shared" si="14"/>
        <v>-23.9</v>
      </c>
      <c r="J16" s="8">
        <f t="shared" si="14"/>
        <v>-18.699999999999996</v>
      </c>
      <c r="K16" s="8">
        <f t="shared" si="14"/>
        <v>-27.3</v>
      </c>
      <c r="L16" s="8">
        <f t="shared" si="14"/>
        <v>-43.699999999999996</v>
      </c>
      <c r="M16" s="8">
        <f t="shared" si="14"/>
        <v>-44.6</v>
      </c>
      <c r="N16" s="8">
        <f t="shared" si="14"/>
        <v>-41.900000000000006</v>
      </c>
      <c r="O16" s="8">
        <f t="shared" si="14"/>
        <v>-39.600000000000009</v>
      </c>
      <c r="P16" s="8">
        <f t="shared" si="14"/>
        <v>-37.599999999999994</v>
      </c>
      <c r="Q16" s="8">
        <f t="shared" si="14"/>
        <v>-52.500000000000007</v>
      </c>
      <c r="R16" s="8">
        <f t="shared" si="14"/>
        <v>-202</v>
      </c>
      <c r="S16" s="8"/>
      <c r="T16" s="8"/>
      <c r="U16" s="8"/>
      <c r="V16" s="8"/>
      <c r="X16" s="8">
        <f>X11-X15</f>
        <v>-106.3</v>
      </c>
      <c r="Y16" s="8">
        <f>Y11-Y15</f>
        <v>-48.400000000000006</v>
      </c>
      <c r="Z16" s="8">
        <f>Z11-Z15</f>
        <v>-157.50000000000003</v>
      </c>
      <c r="AA16" s="8">
        <f>AA11-AA15</f>
        <v>-331.7</v>
      </c>
      <c r="AB16" s="8">
        <f t="shared" ref="AB16:AL16" si="15">AB11-AB15</f>
        <v>-240.65150000000003</v>
      </c>
      <c r="AC16" s="8">
        <f t="shared" si="15"/>
        <v>-249.37895000000003</v>
      </c>
      <c r="AD16" s="8">
        <f t="shared" si="15"/>
        <v>-234.94165740000014</v>
      </c>
      <c r="AE16" s="8">
        <f t="shared" si="15"/>
        <v>-201.95642231800011</v>
      </c>
      <c r="AF16" s="8">
        <f t="shared" si="15"/>
        <v>-133.24014986434008</v>
      </c>
      <c r="AG16" s="8">
        <f t="shared" si="15"/>
        <v>-21.792584863214337</v>
      </c>
      <c r="AH16" s="8">
        <f t="shared" si="15"/>
        <v>89.680987930499015</v>
      </c>
      <c r="AI16" s="8">
        <f t="shared" si="15"/>
        <v>205.01020933962747</v>
      </c>
      <c r="AJ16" s="8">
        <f t="shared" si="15"/>
        <v>322.82322043769335</v>
      </c>
      <c r="AK16" s="8">
        <f t="shared" si="15"/>
        <v>412.03344537012191</v>
      </c>
      <c r="AL16" s="8">
        <f t="shared" si="15"/>
        <v>471.97088145323158</v>
      </c>
    </row>
    <row r="17" spans="2:156" x14ac:dyDescent="0.3">
      <c r="B17" t="s">
        <v>36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/>
      <c r="T17" s="5"/>
      <c r="U17" s="5"/>
      <c r="V17" s="5"/>
      <c r="X17" s="5">
        <f>SUM(C17:F17)</f>
        <v>0</v>
      </c>
      <c r="Y17" s="5">
        <f>SUM(G17:J17)</f>
        <v>0</v>
      </c>
      <c r="Z17" s="5">
        <f>SUM(K17:N17)</f>
        <v>0</v>
      </c>
      <c r="AA17" s="5">
        <f>SUM(O17:R17)</f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</row>
    <row r="18" spans="2:156" s="1" customFormat="1" x14ac:dyDescent="0.3">
      <c r="B18" s="1" t="s">
        <v>37</v>
      </c>
      <c r="C18" s="8">
        <f t="shared" ref="C18:R18" si="16">C16-C17</f>
        <v>-7.4</v>
      </c>
      <c r="D18" s="8">
        <f t="shared" si="16"/>
        <v>-10</v>
      </c>
      <c r="E18" s="8">
        <f t="shared" si="16"/>
        <v>-14.899999999999999</v>
      </c>
      <c r="F18" s="8">
        <f t="shared" si="16"/>
        <v>-74</v>
      </c>
      <c r="G18" s="8">
        <f t="shared" si="16"/>
        <v>-4.3000000000000007</v>
      </c>
      <c r="H18" s="8">
        <f t="shared" si="16"/>
        <v>-1.4999999999999964</v>
      </c>
      <c r="I18" s="8">
        <f t="shared" si="16"/>
        <v>-23.9</v>
      </c>
      <c r="J18" s="8">
        <f t="shared" si="16"/>
        <v>-18.699999999999996</v>
      </c>
      <c r="K18" s="8">
        <f t="shared" si="16"/>
        <v>-27.3</v>
      </c>
      <c r="L18" s="8">
        <f t="shared" si="16"/>
        <v>-43.699999999999996</v>
      </c>
      <c r="M18" s="8">
        <f t="shared" si="16"/>
        <v>-44.6</v>
      </c>
      <c r="N18" s="8">
        <f t="shared" si="16"/>
        <v>-41.900000000000006</v>
      </c>
      <c r="O18" s="8">
        <f t="shared" si="16"/>
        <v>-39.600000000000009</v>
      </c>
      <c r="P18" s="8">
        <f t="shared" si="16"/>
        <v>-37.599999999999994</v>
      </c>
      <c r="Q18" s="8">
        <f t="shared" si="16"/>
        <v>-52.500000000000007</v>
      </c>
      <c r="R18" s="8">
        <f t="shared" si="16"/>
        <v>-202</v>
      </c>
      <c r="S18" s="8"/>
      <c r="T18" s="8"/>
      <c r="U18" s="8"/>
      <c r="V18" s="8"/>
      <c r="X18" s="8">
        <f>X16-X17</f>
        <v>-106.3</v>
      </c>
      <c r="Y18" s="8">
        <f>Y16-Y17</f>
        <v>-48.400000000000006</v>
      </c>
      <c r="Z18" s="8">
        <f>Z16-Z17</f>
        <v>-157.50000000000003</v>
      </c>
      <c r="AA18" s="8">
        <f>AA16-AA17</f>
        <v>-331.7</v>
      </c>
      <c r="AB18" s="8">
        <f>AB16-AB17</f>
        <v>-240.65150000000003</v>
      </c>
      <c r="AC18" s="8">
        <f t="shared" ref="AC18:AL18" si="17">AC16-AC17</f>
        <v>-249.37895000000003</v>
      </c>
      <c r="AD18" s="8">
        <f t="shared" si="17"/>
        <v>-234.94165740000014</v>
      </c>
      <c r="AE18" s="8">
        <f t="shared" si="17"/>
        <v>-201.95642231800011</v>
      </c>
      <c r="AF18" s="8">
        <f t="shared" si="17"/>
        <v>-133.24014986434008</v>
      </c>
      <c r="AG18" s="8">
        <f t="shared" si="17"/>
        <v>-21.792584863214337</v>
      </c>
      <c r="AH18" s="8">
        <f t="shared" si="17"/>
        <v>89.680987930499015</v>
      </c>
      <c r="AI18" s="8">
        <f t="shared" si="17"/>
        <v>205.01020933962747</v>
      </c>
      <c r="AJ18" s="8">
        <f t="shared" si="17"/>
        <v>322.82322043769335</v>
      </c>
      <c r="AK18" s="8">
        <f t="shared" si="17"/>
        <v>412.03344537012191</v>
      </c>
      <c r="AL18" s="8">
        <f t="shared" si="17"/>
        <v>471.97088145323158</v>
      </c>
      <c r="AM18" s="1">
        <f>AL18*(1+$AP$23)</f>
        <v>467.25117263869924</v>
      </c>
      <c r="AN18" s="1">
        <f t="shared" ref="AN18:CY18" si="18">AM18*(1+$AP$23)</f>
        <v>462.57866091231227</v>
      </c>
      <c r="AO18" s="1">
        <f t="shared" si="18"/>
        <v>457.95287430318916</v>
      </c>
      <c r="AP18" s="1">
        <f t="shared" si="18"/>
        <v>453.37334556015725</v>
      </c>
      <c r="AQ18" s="1">
        <f t="shared" si="18"/>
        <v>448.83961210455567</v>
      </c>
      <c r="AR18" s="1">
        <f t="shared" si="18"/>
        <v>444.35121598351009</v>
      </c>
      <c r="AS18" s="1">
        <f t="shared" si="18"/>
        <v>439.90770382367498</v>
      </c>
      <c r="AT18" s="1">
        <f t="shared" si="18"/>
        <v>435.50862678543825</v>
      </c>
      <c r="AU18" s="1">
        <f t="shared" si="18"/>
        <v>431.15354051758385</v>
      </c>
      <c r="AV18" s="1">
        <f t="shared" si="18"/>
        <v>426.842005112408</v>
      </c>
      <c r="AW18" s="1">
        <f t="shared" si="18"/>
        <v>422.57358506128389</v>
      </c>
      <c r="AX18" s="1">
        <f t="shared" si="18"/>
        <v>418.34784921067103</v>
      </c>
      <c r="AY18" s="1">
        <f t="shared" si="18"/>
        <v>414.16437071856433</v>
      </c>
      <c r="AZ18" s="1">
        <f t="shared" si="18"/>
        <v>410.02272701137866</v>
      </c>
      <c r="BA18" s="1">
        <f t="shared" si="18"/>
        <v>405.92249974126486</v>
      </c>
      <c r="BB18" s="1">
        <f t="shared" si="18"/>
        <v>401.86327474385223</v>
      </c>
      <c r="BC18" s="1">
        <f t="shared" si="18"/>
        <v>397.84464199641371</v>
      </c>
      <c r="BD18" s="1">
        <f t="shared" si="18"/>
        <v>393.86619557644957</v>
      </c>
      <c r="BE18" s="1">
        <f t="shared" si="18"/>
        <v>389.9275336206851</v>
      </c>
      <c r="BF18" s="1">
        <f t="shared" si="18"/>
        <v>386.02825828447823</v>
      </c>
      <c r="BG18" s="1">
        <f t="shared" si="18"/>
        <v>382.16797570163345</v>
      </c>
      <c r="BH18" s="1">
        <f t="shared" si="18"/>
        <v>378.34629594461711</v>
      </c>
      <c r="BI18" s="1">
        <f t="shared" si="18"/>
        <v>374.56283298517093</v>
      </c>
      <c r="BJ18" s="1">
        <f t="shared" si="18"/>
        <v>370.81720465531919</v>
      </c>
      <c r="BK18" s="1">
        <f t="shared" si="18"/>
        <v>367.10903260876597</v>
      </c>
      <c r="BL18" s="1">
        <f t="shared" si="18"/>
        <v>363.43794228267831</v>
      </c>
      <c r="BM18" s="1">
        <f t="shared" si="18"/>
        <v>359.80356285985152</v>
      </c>
      <c r="BN18" s="1">
        <f t="shared" si="18"/>
        <v>356.20552723125303</v>
      </c>
      <c r="BO18" s="1">
        <f t="shared" si="18"/>
        <v>352.64347195894049</v>
      </c>
      <c r="BP18" s="1">
        <f t="shared" si="18"/>
        <v>349.11703723935108</v>
      </c>
      <c r="BQ18" s="1">
        <f t="shared" si="18"/>
        <v>345.62586686695755</v>
      </c>
      <c r="BR18" s="1">
        <f t="shared" si="18"/>
        <v>342.16960819828796</v>
      </c>
      <c r="BS18" s="1">
        <f t="shared" si="18"/>
        <v>338.74791211630509</v>
      </c>
      <c r="BT18" s="1">
        <f t="shared" si="18"/>
        <v>335.36043299514205</v>
      </c>
      <c r="BU18" s="1">
        <f t="shared" si="18"/>
        <v>332.0068286651906</v>
      </c>
      <c r="BV18" s="1">
        <f t="shared" si="18"/>
        <v>328.68676037853868</v>
      </c>
      <c r="BW18" s="1">
        <f t="shared" si="18"/>
        <v>325.39989277475331</v>
      </c>
      <c r="BX18" s="1">
        <f t="shared" si="18"/>
        <v>322.14589384700577</v>
      </c>
      <c r="BY18" s="1">
        <f t="shared" si="18"/>
        <v>318.92443490853572</v>
      </c>
      <c r="BZ18" s="1">
        <f t="shared" si="18"/>
        <v>315.73519055945036</v>
      </c>
      <c r="CA18" s="1">
        <f t="shared" si="18"/>
        <v>312.57783865385585</v>
      </c>
      <c r="CB18" s="1">
        <f t="shared" si="18"/>
        <v>309.45206026731728</v>
      </c>
      <c r="CC18" s="1">
        <f t="shared" si="18"/>
        <v>306.35753966464409</v>
      </c>
      <c r="CD18" s="1">
        <f t="shared" si="18"/>
        <v>303.29396426799764</v>
      </c>
      <c r="CE18" s="1">
        <f t="shared" si="18"/>
        <v>300.26102462531765</v>
      </c>
      <c r="CF18" s="1">
        <f t="shared" si="18"/>
        <v>297.25841437906445</v>
      </c>
      <c r="CG18" s="1">
        <f t="shared" si="18"/>
        <v>294.28583023527381</v>
      </c>
      <c r="CH18" s="1">
        <f t="shared" si="18"/>
        <v>291.34297193292105</v>
      </c>
      <c r="CI18" s="1">
        <f t="shared" si="18"/>
        <v>288.42954221359184</v>
      </c>
      <c r="CJ18" s="1">
        <f t="shared" si="18"/>
        <v>285.5452467914559</v>
      </c>
      <c r="CK18" s="1">
        <f t="shared" si="18"/>
        <v>282.68979432354132</v>
      </c>
      <c r="CL18" s="1">
        <f t="shared" si="18"/>
        <v>279.86289638030593</v>
      </c>
      <c r="CM18" s="1">
        <f t="shared" si="18"/>
        <v>277.06426741650284</v>
      </c>
      <c r="CN18" s="1">
        <f t="shared" si="18"/>
        <v>274.29362474233784</v>
      </c>
      <c r="CO18" s="1">
        <f t="shared" si="18"/>
        <v>271.55068849491448</v>
      </c>
      <c r="CP18" s="1">
        <f t="shared" si="18"/>
        <v>268.83518160996533</v>
      </c>
      <c r="CQ18" s="1">
        <f t="shared" si="18"/>
        <v>266.14682979386566</v>
      </c>
      <c r="CR18" s="1">
        <f t="shared" si="18"/>
        <v>263.48536149592701</v>
      </c>
      <c r="CS18" s="1">
        <f t="shared" si="18"/>
        <v>260.85050788096771</v>
      </c>
      <c r="CT18" s="1">
        <f t="shared" si="18"/>
        <v>258.24200280215803</v>
      </c>
      <c r="CU18" s="1">
        <f t="shared" si="18"/>
        <v>255.65958277413645</v>
      </c>
      <c r="CV18" s="1">
        <f t="shared" si="18"/>
        <v>253.10298694639508</v>
      </c>
      <c r="CW18" s="1">
        <f t="shared" si="18"/>
        <v>250.57195707693111</v>
      </c>
      <c r="CX18" s="1">
        <f t="shared" si="18"/>
        <v>248.0662375061618</v>
      </c>
      <c r="CY18" s="1">
        <f t="shared" si="18"/>
        <v>245.58557513110017</v>
      </c>
      <c r="CZ18" s="1">
        <f t="shared" ref="CZ18:EZ18" si="19">CY18*(1+$AP$23)</f>
        <v>243.12971937978918</v>
      </c>
      <c r="DA18" s="1">
        <f t="shared" si="19"/>
        <v>240.69842218599129</v>
      </c>
      <c r="DB18" s="1">
        <f t="shared" si="19"/>
        <v>238.29143796413138</v>
      </c>
      <c r="DC18" s="1">
        <f t="shared" si="19"/>
        <v>235.90852358449007</v>
      </c>
      <c r="DD18" s="1">
        <f t="shared" si="19"/>
        <v>233.54943834864517</v>
      </c>
      <c r="DE18" s="1">
        <f t="shared" si="19"/>
        <v>231.21394396515871</v>
      </c>
      <c r="DF18" s="1">
        <f t="shared" si="19"/>
        <v>228.90180452550712</v>
      </c>
      <c r="DG18" s="1">
        <f t="shared" si="19"/>
        <v>226.61278648025205</v>
      </c>
      <c r="DH18" s="1">
        <f t="shared" si="19"/>
        <v>224.34665861544954</v>
      </c>
      <c r="DI18" s="1">
        <f t="shared" si="19"/>
        <v>222.10319202929503</v>
      </c>
      <c r="DJ18" s="1">
        <f t="shared" si="19"/>
        <v>219.88216010900209</v>
      </c>
      <c r="DK18" s="1">
        <f t="shared" si="19"/>
        <v>217.68333850791205</v>
      </c>
      <c r="DL18" s="1">
        <f t="shared" si="19"/>
        <v>215.50650512283292</v>
      </c>
      <c r="DM18" s="1">
        <f t="shared" si="19"/>
        <v>213.3514400716046</v>
      </c>
      <c r="DN18" s="1">
        <f t="shared" si="19"/>
        <v>211.21792567088855</v>
      </c>
      <c r="DO18" s="1">
        <f t="shared" si="19"/>
        <v>209.10574641417966</v>
      </c>
      <c r="DP18" s="1">
        <f t="shared" si="19"/>
        <v>207.01468895003785</v>
      </c>
      <c r="DQ18" s="1">
        <f t="shared" si="19"/>
        <v>204.94454206053746</v>
      </c>
      <c r="DR18" s="1">
        <f t="shared" si="19"/>
        <v>202.89509663993209</v>
      </c>
      <c r="DS18" s="1">
        <f t="shared" si="19"/>
        <v>200.86614567353277</v>
      </c>
      <c r="DT18" s="1">
        <f t="shared" si="19"/>
        <v>198.85748421679745</v>
      </c>
      <c r="DU18" s="1">
        <f t="shared" si="19"/>
        <v>196.86890937462948</v>
      </c>
      <c r="DV18" s="1">
        <f t="shared" si="19"/>
        <v>194.90022028088319</v>
      </c>
      <c r="DW18" s="1">
        <f t="shared" si="19"/>
        <v>192.95121807807436</v>
      </c>
      <c r="DX18" s="1">
        <f t="shared" si="19"/>
        <v>191.02170589729363</v>
      </c>
      <c r="DY18" s="1">
        <f t="shared" si="19"/>
        <v>189.1114888383207</v>
      </c>
      <c r="DZ18" s="1">
        <f t="shared" si="19"/>
        <v>187.22037394993748</v>
      </c>
      <c r="EA18" s="1">
        <f t="shared" si="19"/>
        <v>185.3481702104381</v>
      </c>
      <c r="EB18" s="1">
        <f t="shared" si="19"/>
        <v>183.49468850833372</v>
      </c>
      <c r="EC18" s="1">
        <f t="shared" si="19"/>
        <v>181.6597416232504</v>
      </c>
      <c r="ED18" s="1">
        <f t="shared" si="19"/>
        <v>179.8431442070179</v>
      </c>
      <c r="EE18" s="1">
        <f t="shared" si="19"/>
        <v>178.04471276494772</v>
      </c>
      <c r="EF18" s="1">
        <f t="shared" si="19"/>
        <v>176.26426563729825</v>
      </c>
      <c r="EG18" s="1">
        <f t="shared" si="19"/>
        <v>174.50162298092528</v>
      </c>
      <c r="EH18" s="1">
        <f t="shared" si="19"/>
        <v>172.75660675111601</v>
      </c>
      <c r="EI18" s="1">
        <f t="shared" si="19"/>
        <v>171.02904068360485</v>
      </c>
      <c r="EJ18" s="1">
        <f t="shared" si="19"/>
        <v>169.31875027676881</v>
      </c>
      <c r="EK18" s="1">
        <f t="shared" si="19"/>
        <v>167.62556277400111</v>
      </c>
      <c r="EL18" s="1">
        <f t="shared" si="19"/>
        <v>165.94930714626111</v>
      </c>
      <c r="EM18" s="1">
        <f t="shared" si="19"/>
        <v>164.2898140747985</v>
      </c>
      <c r="EN18" s="1">
        <f t="shared" si="19"/>
        <v>162.64691593405053</v>
      </c>
      <c r="EO18" s="1">
        <f t="shared" si="19"/>
        <v>161.02044677471002</v>
      </c>
      <c r="EP18" s="1">
        <f t="shared" si="19"/>
        <v>159.41024230696291</v>
      </c>
      <c r="EQ18" s="1">
        <f t="shared" si="19"/>
        <v>157.81613988389327</v>
      </c>
      <c r="ER18" s="1">
        <f t="shared" si="19"/>
        <v>156.23797848505433</v>
      </c>
      <c r="ES18" s="1">
        <f t="shared" si="19"/>
        <v>154.67559870020378</v>
      </c>
      <c r="ET18" s="1">
        <f t="shared" si="19"/>
        <v>153.12884271320175</v>
      </c>
      <c r="EU18" s="1">
        <f t="shared" si="19"/>
        <v>151.59755428606974</v>
      </c>
      <c r="EV18" s="1">
        <f t="shared" si="19"/>
        <v>150.08157874320904</v>
      </c>
      <c r="EW18" s="1">
        <f t="shared" si="19"/>
        <v>148.58076295577695</v>
      </c>
      <c r="EX18" s="1">
        <f t="shared" si="19"/>
        <v>147.09495532621918</v>
      </c>
      <c r="EY18" s="1">
        <f t="shared" si="19"/>
        <v>145.62400577295699</v>
      </c>
      <c r="EZ18" s="1">
        <f t="shared" si="19"/>
        <v>144.16776571522743</v>
      </c>
    </row>
    <row r="19" spans="2:156" x14ac:dyDescent="0.3">
      <c r="B19" t="s">
        <v>2</v>
      </c>
      <c r="C19" s="5">
        <f t="shared" ref="C19:R19" si="20">216.4</f>
        <v>216.4</v>
      </c>
      <c r="D19" s="5">
        <f t="shared" si="20"/>
        <v>216.4</v>
      </c>
      <c r="E19" s="5">
        <f t="shared" si="20"/>
        <v>216.4</v>
      </c>
      <c r="F19" s="5">
        <f t="shared" si="20"/>
        <v>216.4</v>
      </c>
      <c r="G19" s="5">
        <f t="shared" si="20"/>
        <v>216.4</v>
      </c>
      <c r="H19" s="5">
        <f t="shared" si="20"/>
        <v>216.4</v>
      </c>
      <c r="I19" s="5">
        <f t="shared" si="20"/>
        <v>216.4</v>
      </c>
      <c r="J19" s="5">
        <f t="shared" si="20"/>
        <v>216.4</v>
      </c>
      <c r="K19" s="5">
        <f t="shared" si="20"/>
        <v>216.4</v>
      </c>
      <c r="L19" s="5">
        <f t="shared" si="20"/>
        <v>216.4</v>
      </c>
      <c r="M19" s="5">
        <f t="shared" si="20"/>
        <v>216.4</v>
      </c>
      <c r="N19" s="5">
        <f t="shared" si="20"/>
        <v>216.4</v>
      </c>
      <c r="O19" s="5">
        <f t="shared" si="20"/>
        <v>216.4</v>
      </c>
      <c r="P19" s="5">
        <f t="shared" si="20"/>
        <v>216.4</v>
      </c>
      <c r="Q19" s="5">
        <f t="shared" si="20"/>
        <v>216.4</v>
      </c>
      <c r="R19" s="5">
        <f t="shared" si="20"/>
        <v>216.4</v>
      </c>
      <c r="S19" s="5"/>
      <c r="T19" s="5"/>
      <c r="U19" s="5"/>
      <c r="V19" s="5"/>
      <c r="X19" s="5">
        <f>216.4</f>
        <v>216.4</v>
      </c>
      <c r="Y19" s="5">
        <f>216.4</f>
        <v>216.4</v>
      </c>
      <c r="Z19" s="5">
        <f>216.4</f>
        <v>216.4</v>
      </c>
      <c r="AA19" s="5">
        <f>216.4</f>
        <v>216.4</v>
      </c>
      <c r="AB19" s="5">
        <f>216.4</f>
        <v>216.4</v>
      </c>
      <c r="AC19" s="5">
        <f t="shared" ref="AC19:AL19" si="21">216.4</f>
        <v>216.4</v>
      </c>
      <c r="AD19" s="5">
        <f t="shared" si="21"/>
        <v>216.4</v>
      </c>
      <c r="AE19" s="5">
        <f t="shared" si="21"/>
        <v>216.4</v>
      </c>
      <c r="AF19" s="5">
        <f t="shared" si="21"/>
        <v>216.4</v>
      </c>
      <c r="AG19" s="5">
        <f t="shared" si="21"/>
        <v>216.4</v>
      </c>
      <c r="AH19" s="5">
        <f t="shared" si="21"/>
        <v>216.4</v>
      </c>
      <c r="AI19" s="5">
        <f t="shared" si="21"/>
        <v>216.4</v>
      </c>
      <c r="AJ19" s="5">
        <f t="shared" si="21"/>
        <v>216.4</v>
      </c>
      <c r="AK19" s="5">
        <f t="shared" si="21"/>
        <v>216.4</v>
      </c>
      <c r="AL19" s="5">
        <f t="shared" si="21"/>
        <v>216.4</v>
      </c>
    </row>
    <row r="20" spans="2:156" x14ac:dyDescent="0.3">
      <c r="B20" t="s">
        <v>38</v>
      </c>
      <c r="C20" s="7">
        <f t="shared" ref="C20:R20" si="22">C18/C19</f>
        <v>-3.4195933456561925E-2</v>
      </c>
      <c r="D20" s="7">
        <f t="shared" si="22"/>
        <v>-4.6210720887245843E-2</v>
      </c>
      <c r="E20" s="7">
        <f t="shared" si="22"/>
        <v>-6.88539741219963E-2</v>
      </c>
      <c r="F20" s="7">
        <f t="shared" si="22"/>
        <v>-0.34195933456561922</v>
      </c>
      <c r="G20" s="7">
        <f t="shared" si="22"/>
        <v>-1.9870609981515713E-2</v>
      </c>
      <c r="H20" s="7">
        <f t="shared" si="22"/>
        <v>-6.9316081330868598E-3</v>
      </c>
      <c r="I20" s="7">
        <f t="shared" si="22"/>
        <v>-0.11044362292051756</v>
      </c>
      <c r="J20" s="7">
        <f t="shared" si="22"/>
        <v>-8.6414048059149706E-2</v>
      </c>
      <c r="K20" s="7">
        <f t="shared" si="22"/>
        <v>-0.12615526802218113</v>
      </c>
      <c r="L20" s="7">
        <f t="shared" si="22"/>
        <v>-0.2019408502772643</v>
      </c>
      <c r="M20" s="7">
        <f t="shared" si="22"/>
        <v>-0.20609981515711645</v>
      </c>
      <c r="N20" s="7">
        <f t="shared" si="22"/>
        <v>-0.19362292051756008</v>
      </c>
      <c r="O20" s="7">
        <f t="shared" si="22"/>
        <v>-0.18299445471349357</v>
      </c>
      <c r="P20" s="7">
        <f t="shared" si="22"/>
        <v>-0.17375231053604434</v>
      </c>
      <c r="Q20" s="7">
        <f t="shared" si="22"/>
        <v>-0.24260628465804068</v>
      </c>
      <c r="R20" s="7">
        <f t="shared" si="22"/>
        <v>-0.93345656192236592</v>
      </c>
      <c r="S20" s="7"/>
      <c r="T20" s="7"/>
      <c r="U20" s="7"/>
      <c r="V20" s="7"/>
      <c r="X20" s="7">
        <f>X18/X19</f>
        <v>-0.49121996303142329</v>
      </c>
      <c r="Y20" s="7">
        <f>Y18/Y19</f>
        <v>-0.2236598890942699</v>
      </c>
      <c r="Z20" s="7">
        <f>Z18/Z19</f>
        <v>-0.72781885397412216</v>
      </c>
      <c r="AA20" s="7">
        <f>AA18/AA19</f>
        <v>-1.5328096118299444</v>
      </c>
      <c r="AB20" s="7">
        <f>AB18/AB19</f>
        <v>-1.1120679297597043</v>
      </c>
      <c r="AC20" s="7">
        <f t="shared" ref="AC20:AL20" si="23">AC18/AC19</f>
        <v>-1.1523981053604437</v>
      </c>
      <c r="AD20" s="7">
        <f t="shared" si="23"/>
        <v>-1.0856823354898342</v>
      </c>
      <c r="AE20" s="7">
        <f t="shared" si="23"/>
        <v>-0.93325518631238491</v>
      </c>
      <c r="AF20" s="7">
        <f t="shared" si="23"/>
        <v>-0.61571233763558264</v>
      </c>
      <c r="AG20" s="7">
        <f t="shared" si="23"/>
        <v>-0.10070510565256163</v>
      </c>
      <c r="AH20" s="7">
        <f t="shared" si="23"/>
        <v>0.4144223102148753</v>
      </c>
      <c r="AI20" s="7">
        <f t="shared" si="23"/>
        <v>0.94736695628293655</v>
      </c>
      <c r="AJ20" s="7">
        <f t="shared" si="23"/>
        <v>1.4917893735568084</v>
      </c>
      <c r="AK20" s="7">
        <f t="shared" si="23"/>
        <v>1.9040362540208959</v>
      </c>
      <c r="AL20" s="7">
        <f t="shared" si="23"/>
        <v>2.181011466974268</v>
      </c>
    </row>
    <row r="22" spans="2:156" s="1" customFormat="1" x14ac:dyDescent="0.3">
      <c r="B22" s="1" t="s">
        <v>44</v>
      </c>
      <c r="C22" s="9"/>
      <c r="D22" s="9"/>
      <c r="E22" s="9"/>
      <c r="F22" s="9"/>
      <c r="G22" s="9">
        <f t="shared" ref="G22:P22" si="24">G3/C3-1</f>
        <v>19</v>
      </c>
      <c r="H22" s="9">
        <f t="shared" si="24"/>
        <v>25</v>
      </c>
      <c r="I22" s="9">
        <f t="shared" si="24"/>
        <v>12.999999999999998</v>
      </c>
      <c r="J22" s="9">
        <f t="shared" si="24"/>
        <v>1.3749999999999996</v>
      </c>
      <c r="K22" s="9">
        <f t="shared" si="24"/>
        <v>1.1499999999999999</v>
      </c>
      <c r="L22" s="9">
        <f t="shared" si="24"/>
        <v>1.1153846153846154</v>
      </c>
      <c r="M22" s="9">
        <f t="shared" si="24"/>
        <v>1.1785714285714284</v>
      </c>
      <c r="N22" s="9">
        <f t="shared" si="24"/>
        <v>0.60526315789473673</v>
      </c>
      <c r="O22" s="9">
        <f t="shared" si="24"/>
        <v>0.76744186046511631</v>
      </c>
      <c r="P22" s="9">
        <f t="shared" si="24"/>
        <v>1.0727272727272728</v>
      </c>
      <c r="Q22" s="9">
        <f>Q3/M3-1</f>
        <v>1.0327868852459017</v>
      </c>
      <c r="R22" s="9">
        <f>R3/N3-1</f>
        <v>0.91803278688524581</v>
      </c>
      <c r="S22" s="9">
        <f t="shared" ref="S22:V22" si="25">S3/O3-1</f>
        <v>-1.3157894736842035E-2</v>
      </c>
      <c r="T22" s="9">
        <f t="shared" si="25"/>
        <v>0.92982456140350878</v>
      </c>
      <c r="U22" s="9">
        <f t="shared" si="25"/>
        <v>0.93548387096774177</v>
      </c>
      <c r="V22" s="9">
        <f t="shared" si="25"/>
        <v>1.2222222222222223</v>
      </c>
      <c r="X22" s="9"/>
      <c r="Y22" s="9">
        <f>Y3/X3-1</f>
        <v>4.5999999999999996</v>
      </c>
      <c r="Z22" s="9">
        <f t="shared" ref="Z22:AL22" si="26">Z3/Y3-1</f>
        <v>0.96428571428571441</v>
      </c>
      <c r="AA22" s="9">
        <f t="shared" si="26"/>
        <v>0.95909090909090877</v>
      </c>
      <c r="AB22" s="9">
        <f t="shared" si="26"/>
        <v>0.95</v>
      </c>
      <c r="AC22" s="9">
        <f t="shared" si="26"/>
        <v>0.8</v>
      </c>
      <c r="AD22" s="9">
        <f t="shared" si="26"/>
        <v>0.7</v>
      </c>
      <c r="AE22" s="9">
        <f t="shared" si="26"/>
        <v>0.60000000000000009</v>
      </c>
      <c r="AF22" s="9">
        <f t="shared" si="26"/>
        <v>0.5</v>
      </c>
      <c r="AG22" s="9">
        <f t="shared" si="26"/>
        <v>0.44999999999999996</v>
      </c>
      <c r="AH22" s="9">
        <f t="shared" si="26"/>
        <v>0.25</v>
      </c>
      <c r="AI22" s="9">
        <f t="shared" si="26"/>
        <v>0.19999999999999996</v>
      </c>
      <c r="AJ22" s="9">
        <f t="shared" si="26"/>
        <v>0.14999999999999991</v>
      </c>
      <c r="AK22" s="9">
        <f t="shared" si="26"/>
        <v>0.10000000000000009</v>
      </c>
      <c r="AL22" s="9">
        <f t="shared" si="26"/>
        <v>5.0000000000000044E-2</v>
      </c>
    </row>
    <row r="23" spans="2:156" x14ac:dyDescent="0.3">
      <c r="B23" t="s">
        <v>45</v>
      </c>
      <c r="C23" s="10">
        <f t="shared" ref="C23:P23" si="27">C5/C3</f>
        <v>-1</v>
      </c>
      <c r="D23" s="10">
        <f t="shared" si="27"/>
        <v>-1.9999999999999998</v>
      </c>
      <c r="E23" s="10">
        <f t="shared" si="27"/>
        <v>0</v>
      </c>
      <c r="F23" s="10">
        <f t="shared" si="27"/>
        <v>0.8125</v>
      </c>
      <c r="G23" s="10">
        <f t="shared" si="27"/>
        <v>0.7</v>
      </c>
      <c r="H23" s="10">
        <f t="shared" si="27"/>
        <v>0.73076923076923084</v>
      </c>
      <c r="I23" s="10">
        <f t="shared" si="27"/>
        <v>0.74999999999999989</v>
      </c>
      <c r="J23" s="10">
        <f t="shared" si="27"/>
        <v>0.76315789473684215</v>
      </c>
      <c r="K23" s="10">
        <f t="shared" si="27"/>
        <v>0.76744186046511631</v>
      </c>
      <c r="L23" s="10">
        <f t="shared" si="27"/>
        <v>0.65454545454545454</v>
      </c>
      <c r="M23" s="10">
        <f t="shared" si="27"/>
        <v>0.67213114754098358</v>
      </c>
      <c r="N23" s="10">
        <f t="shared" si="27"/>
        <v>0.47540983606557369</v>
      </c>
      <c r="O23" s="10">
        <f t="shared" si="27"/>
        <v>0.55263157894736836</v>
      </c>
      <c r="P23" s="10">
        <f t="shared" si="27"/>
        <v>0.50877192982456143</v>
      </c>
      <c r="Q23" s="10">
        <f>Q5/Q3</f>
        <v>0.47580645161290325</v>
      </c>
      <c r="R23" s="10">
        <f>R5/R3</f>
        <v>0.57264957264957261</v>
      </c>
      <c r="S23" s="10">
        <f t="shared" ref="S23:V23" si="28">S5/S3</f>
        <v>0.52</v>
      </c>
      <c r="T23" s="10">
        <f t="shared" si="28"/>
        <v>0.52</v>
      </c>
      <c r="U23" s="10">
        <f t="shared" si="28"/>
        <v>0.52</v>
      </c>
      <c r="V23" s="10">
        <f t="shared" si="28"/>
        <v>0.52</v>
      </c>
      <c r="X23" s="10">
        <f t="shared" ref="X23" si="29">X5/X3</f>
        <v>0.5</v>
      </c>
      <c r="Y23" s="10">
        <f>Y5/Y3</f>
        <v>0.74107142857142849</v>
      </c>
      <c r="Z23" s="10">
        <f t="shared" ref="Z23:AL23" si="30">Z5/Z3</f>
        <v>0.63181818181818172</v>
      </c>
      <c r="AA23" s="10">
        <f t="shared" si="30"/>
        <v>0.52436194895591637</v>
      </c>
      <c r="AB23" s="10">
        <f t="shared" si="30"/>
        <v>0.5</v>
      </c>
      <c r="AC23" s="10">
        <f t="shared" si="30"/>
        <v>0.51</v>
      </c>
      <c r="AD23" s="10">
        <f t="shared" si="30"/>
        <v>0.52</v>
      </c>
      <c r="AE23" s="10">
        <f t="shared" si="30"/>
        <v>0.52</v>
      </c>
      <c r="AF23" s="10">
        <f t="shared" si="30"/>
        <v>0.54</v>
      </c>
      <c r="AG23" s="10">
        <f t="shared" si="30"/>
        <v>0.56000000000000005</v>
      </c>
      <c r="AH23" s="10">
        <f t="shared" si="30"/>
        <v>0.57999999999999996</v>
      </c>
      <c r="AI23" s="10">
        <f t="shared" si="30"/>
        <v>0.6</v>
      </c>
      <c r="AJ23" s="10">
        <f t="shared" si="30"/>
        <v>0.62</v>
      </c>
      <c r="AK23" s="10">
        <f t="shared" si="30"/>
        <v>0.63</v>
      </c>
      <c r="AL23" s="10">
        <f t="shared" si="30"/>
        <v>0.64</v>
      </c>
      <c r="AO23" t="s">
        <v>52</v>
      </c>
      <c r="AP23" s="10">
        <v>-0.01</v>
      </c>
    </row>
    <row r="24" spans="2:156" x14ac:dyDescent="0.3">
      <c r="B24" t="s">
        <v>46</v>
      </c>
      <c r="C24" s="10"/>
      <c r="D24" s="10"/>
      <c r="E24" s="10"/>
      <c r="F24" s="10"/>
      <c r="G24" s="10">
        <f t="shared" ref="G24:P24" si="31">G6/C6-1</f>
        <v>0.9729729729729728</v>
      </c>
      <c r="H24" s="10">
        <f t="shared" si="31"/>
        <v>0.76363636363636345</v>
      </c>
      <c r="I24" s="10">
        <f t="shared" si="31"/>
        <v>1.1451612903225805</v>
      </c>
      <c r="J24" s="10">
        <f t="shared" si="31"/>
        <v>1.7959183673469385</v>
      </c>
      <c r="K24" s="10">
        <f t="shared" si="31"/>
        <v>1.2191780821917808</v>
      </c>
      <c r="L24" s="10">
        <f t="shared" si="31"/>
        <v>1.0515463917525771</v>
      </c>
      <c r="M24" s="10">
        <f t="shared" si="31"/>
        <v>0.84962406015037595</v>
      </c>
      <c r="N24" s="10">
        <f t="shared" si="31"/>
        <v>1.3065693430656937</v>
      </c>
      <c r="O24" s="10">
        <f t="shared" si="31"/>
        <v>1</v>
      </c>
      <c r="P24" s="10">
        <f t="shared" si="31"/>
        <v>0.56783919597989962</v>
      </c>
      <c r="Q24" s="10">
        <f>Q6/M6-1</f>
        <v>0.34959349593495936</v>
      </c>
      <c r="R24" s="10">
        <f>R6/N6-1</f>
        <v>0.26898734177215178</v>
      </c>
      <c r="S24" s="10">
        <f t="shared" ref="S24:V24" si="32">S6/O6-1</f>
        <v>-1</v>
      </c>
      <c r="T24" s="10">
        <f t="shared" si="32"/>
        <v>-1</v>
      </c>
      <c r="U24" s="10">
        <f t="shared" si="32"/>
        <v>-1</v>
      </c>
      <c r="V24" s="10">
        <f t="shared" si="32"/>
        <v>-1</v>
      </c>
      <c r="X24" s="10"/>
      <c r="Y24" s="10">
        <f>Y6/X6-1</f>
        <v>1.1674876847290645</v>
      </c>
      <c r="Z24" s="10">
        <f t="shared" ref="Z24:AL24" si="33">Z6/Y6-1</f>
        <v>1.0977272727272727</v>
      </c>
      <c r="AA24" s="10">
        <f t="shared" si="33"/>
        <v>0.48320693391115932</v>
      </c>
      <c r="AB24" s="10">
        <f t="shared" si="33"/>
        <v>0.17999999999999994</v>
      </c>
      <c r="AC24" s="10">
        <f t="shared" si="33"/>
        <v>0.12000000000000011</v>
      </c>
      <c r="AD24" s="10">
        <f t="shared" si="33"/>
        <v>7.0000000000000062E-2</v>
      </c>
      <c r="AE24" s="10">
        <f t="shared" si="33"/>
        <v>5.0000000000000044E-2</v>
      </c>
      <c r="AF24" s="10">
        <f t="shared" si="33"/>
        <v>5.0000000000000044E-2</v>
      </c>
      <c r="AG24" s="10">
        <f t="shared" si="33"/>
        <v>5.0000000000000044E-2</v>
      </c>
      <c r="AH24" s="10">
        <f t="shared" si="33"/>
        <v>5.0000000000000044E-2</v>
      </c>
      <c r="AI24" s="10">
        <f t="shared" si="33"/>
        <v>5.0000000000000044E-2</v>
      </c>
      <c r="AJ24" s="10">
        <f t="shared" si="33"/>
        <v>5.0000000000000044E-2</v>
      </c>
      <c r="AK24" s="10">
        <f t="shared" si="33"/>
        <v>5.0000000000000044E-2</v>
      </c>
      <c r="AL24" s="10">
        <f t="shared" si="33"/>
        <v>5.0000000000000044E-2</v>
      </c>
      <c r="AO24" t="s">
        <v>53</v>
      </c>
      <c r="AP24" s="10">
        <v>0.09</v>
      </c>
    </row>
    <row r="25" spans="2:156" x14ac:dyDescent="0.3">
      <c r="B25" t="s">
        <v>47</v>
      </c>
      <c r="C25" s="10">
        <f t="shared" ref="C25:P25" si="34">C7/C3</f>
        <v>2</v>
      </c>
      <c r="D25" s="10">
        <f t="shared" si="34"/>
        <v>9</v>
      </c>
      <c r="E25" s="10">
        <f t="shared" si="34"/>
        <v>6.5</v>
      </c>
      <c r="F25" s="10">
        <f t="shared" si="34"/>
        <v>0.5</v>
      </c>
      <c r="G25" s="10">
        <f t="shared" si="34"/>
        <v>0.95</v>
      </c>
      <c r="H25" s="10">
        <f t="shared" si="34"/>
        <v>0.80769230769230771</v>
      </c>
      <c r="I25" s="10">
        <f t="shared" si="34"/>
        <v>0.7142857142857143</v>
      </c>
      <c r="J25" s="10">
        <f t="shared" si="34"/>
        <v>0.63157894736842102</v>
      </c>
      <c r="K25" s="10">
        <f t="shared" si="34"/>
        <v>0.62790697674418616</v>
      </c>
      <c r="L25" s="10">
        <f t="shared" si="34"/>
        <v>0.65454545454545454</v>
      </c>
      <c r="M25" s="10">
        <f t="shared" si="34"/>
        <v>0.81967213114754101</v>
      </c>
      <c r="N25" s="10">
        <f t="shared" si="34"/>
        <v>1.1475409836065575</v>
      </c>
      <c r="O25" s="10">
        <f t="shared" si="34"/>
        <v>0.88157894736842113</v>
      </c>
      <c r="P25" s="10">
        <f t="shared" si="34"/>
        <v>0.53508771929824561</v>
      </c>
      <c r="Q25" s="10">
        <f>Q7/Q3</f>
        <v>0.532258064516129</v>
      </c>
      <c r="R25" s="10">
        <f>R7/R3</f>
        <v>0.76068376068376076</v>
      </c>
      <c r="S25" s="10">
        <f t="shared" ref="S25:V25" si="35">S7/S3</f>
        <v>0</v>
      </c>
      <c r="T25" s="10">
        <f t="shared" si="35"/>
        <v>0</v>
      </c>
      <c r="U25" s="10">
        <f t="shared" si="35"/>
        <v>0</v>
      </c>
      <c r="V25" s="10">
        <f t="shared" si="35"/>
        <v>0</v>
      </c>
      <c r="X25" s="10">
        <f t="shared" ref="X25" si="36">X7/X3</f>
        <v>1.6</v>
      </c>
      <c r="Y25" s="10">
        <f>Y7/Y3</f>
        <v>0.75000000000000011</v>
      </c>
      <c r="Z25" s="10">
        <f t="shared" ref="Z25:AL25" si="37">Z7/Z3</f>
        <v>0.8318181818181819</v>
      </c>
      <c r="AA25" s="10">
        <f t="shared" si="37"/>
        <v>0.65661252900232026</v>
      </c>
      <c r="AB25" s="10">
        <f t="shared" si="37"/>
        <v>0.4</v>
      </c>
      <c r="AC25" s="10">
        <f t="shared" si="37"/>
        <v>0.3</v>
      </c>
      <c r="AD25" s="10">
        <f t="shared" si="37"/>
        <v>0.26</v>
      </c>
      <c r="AE25" s="10">
        <f t="shared" si="37"/>
        <v>0.23999999999999996</v>
      </c>
      <c r="AF25" s="10">
        <f t="shared" si="37"/>
        <v>0.21999999999999997</v>
      </c>
      <c r="AG25" s="10">
        <f t="shared" si="37"/>
        <v>0.2</v>
      </c>
      <c r="AH25" s="10">
        <f t="shared" si="37"/>
        <v>0.18</v>
      </c>
      <c r="AI25" s="10">
        <f t="shared" si="37"/>
        <v>0.17</v>
      </c>
      <c r="AJ25" s="10">
        <f t="shared" si="37"/>
        <v>0.16</v>
      </c>
      <c r="AK25" s="10">
        <f t="shared" si="37"/>
        <v>0.15</v>
      </c>
      <c r="AL25" s="10">
        <f t="shared" si="37"/>
        <v>0.14000000000000001</v>
      </c>
      <c r="AO25" t="s">
        <v>54</v>
      </c>
      <c r="AP25" s="5">
        <f>NPV(AP24,AA18:EZ18)</f>
        <v>1175.969291418229</v>
      </c>
    </row>
    <row r="26" spans="2:156" x14ac:dyDescent="0.3">
      <c r="B26" t="s">
        <v>48</v>
      </c>
      <c r="C26" s="10"/>
      <c r="D26" s="10"/>
      <c r="E26" s="10"/>
      <c r="F26" s="10"/>
      <c r="G26" s="10">
        <f t="shared" ref="G26:P26" si="38">G8/C8-1</f>
        <v>2.0666666666666664</v>
      </c>
      <c r="H26" s="10">
        <f t="shared" si="38"/>
        <v>1.6206896551724137</v>
      </c>
      <c r="I26" s="10">
        <f t="shared" si="38"/>
        <v>3.04</v>
      </c>
      <c r="J26" s="10">
        <f t="shared" si="38"/>
        <v>0.68518518518518512</v>
      </c>
      <c r="K26" s="10">
        <f t="shared" si="38"/>
        <v>0.15217391304347827</v>
      </c>
      <c r="L26" s="10">
        <f t="shared" si="38"/>
        <v>0.4342105263157896</v>
      </c>
      <c r="M26" s="10">
        <f t="shared" si="38"/>
        <v>0.37623762376237635</v>
      </c>
      <c r="N26" s="10">
        <f t="shared" si="38"/>
        <v>0.68131868131868156</v>
      </c>
      <c r="O26" s="10">
        <f t="shared" si="38"/>
        <v>0.32075471698113223</v>
      </c>
      <c r="P26" s="10">
        <f t="shared" si="38"/>
        <v>0.201834862385321</v>
      </c>
      <c r="Q26" s="10">
        <f>Q8/M8-1</f>
        <v>2.877697841726623E-2</v>
      </c>
      <c r="R26" s="10">
        <f>R8/N8-1</f>
        <v>0.94117647058823506</v>
      </c>
      <c r="S26" s="10">
        <f t="shared" ref="S26:V26" si="39">S8/O8-1</f>
        <v>-1</v>
      </c>
      <c r="T26" s="10">
        <f t="shared" si="39"/>
        <v>-1</v>
      </c>
      <c r="U26" s="10">
        <f t="shared" si="39"/>
        <v>-1</v>
      </c>
      <c r="V26" s="10">
        <f t="shared" si="39"/>
        <v>-1</v>
      </c>
      <c r="X26" s="10"/>
      <c r="Y26" s="10">
        <f>Y8/X8-1</f>
        <v>1.6086956521739131</v>
      </c>
      <c r="Z26" s="10">
        <f t="shared" ref="Z26:AL26" si="40">Z8/Y8-1</f>
        <v>0.40833333333333344</v>
      </c>
      <c r="AA26" s="10">
        <f t="shared" si="40"/>
        <v>0.4023668639053255</v>
      </c>
      <c r="AB26" s="10">
        <f t="shared" si="40"/>
        <v>0.10000000000000009</v>
      </c>
      <c r="AC26" s="10">
        <f t="shared" si="40"/>
        <v>8.0000000000000071E-2</v>
      </c>
      <c r="AD26" s="10">
        <f t="shared" si="40"/>
        <v>6.0000000000000053E-2</v>
      </c>
      <c r="AE26" s="10">
        <f t="shared" si="40"/>
        <v>4.0000000000000036E-2</v>
      </c>
      <c r="AF26" s="10">
        <f t="shared" si="40"/>
        <v>3.0000000000000027E-2</v>
      </c>
      <c r="AG26" s="10">
        <f t="shared" si="40"/>
        <v>2.0000000000000018E-2</v>
      </c>
      <c r="AH26" s="10">
        <f t="shared" si="40"/>
        <v>2.0000000000000018E-2</v>
      </c>
      <c r="AI26" s="10">
        <f t="shared" si="40"/>
        <v>2.0000000000000018E-2</v>
      </c>
      <c r="AJ26" s="10">
        <f t="shared" si="40"/>
        <v>2.0000000000000018E-2</v>
      </c>
      <c r="AK26" s="10">
        <f t="shared" si="40"/>
        <v>2.0000000000000018E-2</v>
      </c>
      <c r="AL26" s="10">
        <f t="shared" si="40"/>
        <v>2.0000000000000018E-2</v>
      </c>
      <c r="AO26" t="s">
        <v>55</v>
      </c>
      <c r="AP26" s="5">
        <f>Main!D8</f>
        <v>364.29999999999995</v>
      </c>
    </row>
    <row r="27" spans="2:156" x14ac:dyDescent="0.3">
      <c r="B27" t="s">
        <v>49</v>
      </c>
      <c r="C27" s="10"/>
      <c r="D27" s="10"/>
      <c r="E27" s="10"/>
      <c r="F27" s="10"/>
      <c r="G27" s="10">
        <f t="shared" ref="G27:P27" si="41">G9/C9-1</f>
        <v>2.25</v>
      </c>
      <c r="H27" s="10">
        <f t="shared" si="41"/>
        <v>2</v>
      </c>
      <c r="I27" s="10">
        <f t="shared" si="41"/>
        <v>1.5</v>
      </c>
      <c r="J27" s="10">
        <f t="shared" si="41"/>
        <v>0.39999999999999991</v>
      </c>
      <c r="K27" s="10">
        <f t="shared" si="41"/>
        <v>0.38461538461538458</v>
      </c>
      <c r="L27" s="10">
        <f t="shared" si="41"/>
        <v>0.53333333333333321</v>
      </c>
      <c r="M27" s="10">
        <f t="shared" si="41"/>
        <v>0.8</v>
      </c>
      <c r="N27" s="10">
        <f t="shared" si="41"/>
        <v>1.5</v>
      </c>
      <c r="O27" s="10">
        <f t="shared" si="41"/>
        <v>1.2222222222222223</v>
      </c>
      <c r="P27" s="10">
        <f t="shared" si="41"/>
        <v>0.86956521739130443</v>
      </c>
      <c r="Q27" s="10">
        <f>Q9/M9-1</f>
        <v>0.81481481481481488</v>
      </c>
      <c r="R27" s="10">
        <f>R9/N9-1</f>
        <v>0.5714285714285714</v>
      </c>
      <c r="S27" s="10">
        <f t="shared" ref="S27:V27" si="42">S9/O9-1</f>
        <v>-1</v>
      </c>
      <c r="T27" s="10">
        <f t="shared" si="42"/>
        <v>-1</v>
      </c>
      <c r="U27" s="10">
        <f t="shared" si="42"/>
        <v>-1</v>
      </c>
      <c r="V27" s="10">
        <f t="shared" si="42"/>
        <v>-1</v>
      </c>
      <c r="X27" s="10"/>
      <c r="Y27" s="10">
        <f>Y9/X9-1</f>
        <v>1.2799999999999998</v>
      </c>
      <c r="Z27" s="10">
        <f t="shared" ref="Z27:AL27" si="43">Z9/Y9-1</f>
        <v>0.80701754385964941</v>
      </c>
      <c r="AA27" s="10">
        <f t="shared" si="43"/>
        <v>0.81553398058252435</v>
      </c>
      <c r="AB27" s="10">
        <f t="shared" si="43"/>
        <v>0.5</v>
      </c>
      <c r="AC27" s="10">
        <f t="shared" si="43"/>
        <v>0.25</v>
      </c>
      <c r="AD27" s="10">
        <f t="shared" si="43"/>
        <v>0.10000000000000009</v>
      </c>
      <c r="AE27" s="10">
        <f t="shared" si="43"/>
        <v>7.0000000000000062E-2</v>
      </c>
      <c r="AF27" s="10">
        <f t="shared" si="43"/>
        <v>3.0000000000000027E-2</v>
      </c>
      <c r="AG27" s="10">
        <f t="shared" si="43"/>
        <v>3.0000000000000027E-2</v>
      </c>
      <c r="AH27" s="10">
        <f t="shared" si="43"/>
        <v>3.0000000000000027E-2</v>
      </c>
      <c r="AI27" s="10">
        <f t="shared" si="43"/>
        <v>3.0000000000000027E-2</v>
      </c>
      <c r="AJ27" s="10">
        <f t="shared" si="43"/>
        <v>3.0000000000000027E-2</v>
      </c>
      <c r="AK27" s="10">
        <f t="shared" si="43"/>
        <v>3.0000000000000027E-2</v>
      </c>
      <c r="AL27" s="10">
        <f t="shared" si="43"/>
        <v>3.0000000000000027E-2</v>
      </c>
      <c r="AO27" t="s">
        <v>56</v>
      </c>
      <c r="AP27" s="5">
        <f>AP25+AP26</f>
        <v>1540.2692914182289</v>
      </c>
    </row>
    <row r="28" spans="2:156" x14ac:dyDescent="0.3">
      <c r="B28" t="s">
        <v>50</v>
      </c>
      <c r="C28" s="10">
        <f t="shared" ref="C28:P28" si="44">C11/C3</f>
        <v>-74</v>
      </c>
      <c r="D28" s="10">
        <f t="shared" si="44"/>
        <v>-100</v>
      </c>
      <c r="E28" s="10">
        <f t="shared" si="44"/>
        <v>-52.999999999999993</v>
      </c>
      <c r="F28" s="10">
        <f t="shared" si="44"/>
        <v>-6.75</v>
      </c>
      <c r="G28" s="10">
        <f t="shared" si="44"/>
        <v>-9.15</v>
      </c>
      <c r="H28" s="10">
        <f t="shared" si="44"/>
        <v>-7.3076923076923075</v>
      </c>
      <c r="I28" s="10">
        <f t="shared" si="44"/>
        <v>-8.8571428571428559</v>
      </c>
      <c r="J28" s="10">
        <f t="shared" si="44"/>
        <v>-6.2368421052631566</v>
      </c>
      <c r="K28" s="10">
        <f t="shared" si="44"/>
        <v>-6.5116279069767442</v>
      </c>
      <c r="L28" s="10">
        <f t="shared" si="44"/>
        <v>-6.0181818181818167</v>
      </c>
      <c r="M28" s="10">
        <f t="shared" si="44"/>
        <v>-6.9016393442622954</v>
      </c>
      <c r="N28" s="10">
        <f t="shared" si="44"/>
        <v>-8.9344262295081975</v>
      </c>
      <c r="O28" s="10">
        <f t="shared" si="44"/>
        <v>-6.9605263157894743</v>
      </c>
      <c r="P28" s="10">
        <f t="shared" si="44"/>
        <v>-4.2894736842105257</v>
      </c>
      <c r="Q28" s="10">
        <f>Q11/Q3</f>
        <v>-4.2822580645161299</v>
      </c>
      <c r="R28" s="10">
        <f>R11/R3</f>
        <v>-6.6239316239316244</v>
      </c>
      <c r="S28" s="10">
        <f t="shared" ref="S28:V28" si="45">S11/S3</f>
        <v>0</v>
      </c>
      <c r="T28" s="10">
        <f t="shared" si="45"/>
        <v>0</v>
      </c>
      <c r="U28" s="10">
        <f t="shared" si="45"/>
        <v>0</v>
      </c>
      <c r="V28" s="10">
        <f t="shared" si="45"/>
        <v>0</v>
      </c>
      <c r="X28" s="10">
        <f t="shared" ref="X28" si="46">X11/X3</f>
        <v>-19.399999999999999</v>
      </c>
      <c r="Y28" s="10">
        <f>Y11/Y3</f>
        <v>-7.6607142857142874</v>
      </c>
      <c r="Z28" s="10">
        <f t="shared" ref="Z28:AL28" si="47">Z11/Z3</f>
        <v>-7.1681818181818189</v>
      </c>
      <c r="AA28" s="10">
        <f t="shared" si="47"/>
        <v>-5.3921113689095135</v>
      </c>
      <c r="AB28" s="10">
        <f t="shared" si="47"/>
        <v>-3.0864120411684226</v>
      </c>
      <c r="AC28" s="10">
        <f t="shared" si="47"/>
        <v>-1.7760811337841504</v>
      </c>
      <c r="AD28" s="10">
        <f t="shared" si="47"/>
        <v>-0.99086852709235751</v>
      </c>
      <c r="AE28" s="10">
        <f t="shared" si="47"/>
        <v>-0.54058118826982304</v>
      </c>
      <c r="AF28" s="10">
        <f t="shared" si="47"/>
        <v>-0.25005236006173959</v>
      </c>
      <c r="AG28" s="10">
        <f t="shared" si="47"/>
        <v>-4.8631717653262935E-2</v>
      </c>
      <c r="AH28" s="10">
        <f t="shared" si="47"/>
        <v>6.01554485610322E-2</v>
      </c>
      <c r="AI28" s="10">
        <f t="shared" si="47"/>
        <v>0.13553771776063661</v>
      </c>
      <c r="AJ28" s="10">
        <f t="shared" si="47"/>
        <v>0.19372265755641363</v>
      </c>
      <c r="AK28" s="10">
        <f t="shared" si="47"/>
        <v>0.22822356553791479</v>
      </c>
      <c r="AL28" s="10">
        <f t="shared" si="47"/>
        <v>0.25055782704192214</v>
      </c>
      <c r="AO28" t="s">
        <v>57</v>
      </c>
      <c r="AP28" s="4">
        <f>AP27/AL19</f>
        <v>7.1176954316923702</v>
      </c>
    </row>
    <row r="29" spans="2:156" x14ac:dyDescent="0.3">
      <c r="B29" t="s">
        <v>36</v>
      </c>
      <c r="C29" s="10">
        <f t="shared" ref="C29:P29" si="48">C17/C16</f>
        <v>0</v>
      </c>
      <c r="D29" s="10">
        <f t="shared" si="48"/>
        <v>0</v>
      </c>
      <c r="E29" s="10">
        <f t="shared" si="48"/>
        <v>0</v>
      </c>
      <c r="F29" s="10">
        <f t="shared" si="48"/>
        <v>0</v>
      </c>
      <c r="G29" s="10">
        <f t="shared" si="48"/>
        <v>0</v>
      </c>
      <c r="H29" s="10">
        <f t="shared" si="48"/>
        <v>0</v>
      </c>
      <c r="I29" s="10">
        <f t="shared" si="48"/>
        <v>0</v>
      </c>
      <c r="J29" s="10">
        <f t="shared" si="48"/>
        <v>0</v>
      </c>
      <c r="K29" s="10">
        <f t="shared" si="48"/>
        <v>0</v>
      </c>
      <c r="L29" s="10">
        <f t="shared" si="48"/>
        <v>0</v>
      </c>
      <c r="M29" s="10">
        <f t="shared" si="48"/>
        <v>0</v>
      </c>
      <c r="N29" s="10">
        <f t="shared" si="48"/>
        <v>0</v>
      </c>
      <c r="O29" s="10">
        <f t="shared" si="48"/>
        <v>0</v>
      </c>
      <c r="P29" s="10">
        <f t="shared" si="48"/>
        <v>0</v>
      </c>
      <c r="Q29" s="10">
        <f>Q17/Q16</f>
        <v>0</v>
      </c>
      <c r="R29" s="10">
        <f>R17/R16</f>
        <v>0</v>
      </c>
      <c r="S29" s="10" t="e">
        <f t="shared" ref="S29:V29" si="49">S17/S16</f>
        <v>#DIV/0!</v>
      </c>
      <c r="T29" s="10" t="e">
        <f t="shared" si="49"/>
        <v>#DIV/0!</v>
      </c>
      <c r="U29" s="10" t="e">
        <f t="shared" si="49"/>
        <v>#DIV/0!</v>
      </c>
      <c r="V29" s="10" t="e">
        <f t="shared" si="49"/>
        <v>#DIV/0!</v>
      </c>
      <c r="X29" s="10">
        <f t="shared" ref="X29" si="50">X17/X16</f>
        <v>0</v>
      </c>
      <c r="Y29" s="10">
        <f>Y17/Y16</f>
        <v>0</v>
      </c>
      <c r="Z29" s="10">
        <f t="shared" ref="Z29:AL29" si="51">Z17/Z16</f>
        <v>0</v>
      </c>
      <c r="AA29" s="10">
        <f t="shared" si="51"/>
        <v>0</v>
      </c>
      <c r="AB29" s="10">
        <f t="shared" si="51"/>
        <v>0</v>
      </c>
      <c r="AC29" s="10">
        <f t="shared" si="51"/>
        <v>0</v>
      </c>
      <c r="AD29" s="10">
        <f t="shared" si="51"/>
        <v>0</v>
      </c>
      <c r="AE29" s="10">
        <f t="shared" si="51"/>
        <v>0</v>
      </c>
      <c r="AF29" s="10">
        <f t="shared" si="51"/>
        <v>0</v>
      </c>
      <c r="AG29" s="10">
        <f t="shared" si="51"/>
        <v>0</v>
      </c>
      <c r="AH29" s="10">
        <f t="shared" si="51"/>
        <v>0</v>
      </c>
      <c r="AI29" s="10">
        <f t="shared" si="51"/>
        <v>0</v>
      </c>
      <c r="AJ29" s="10">
        <f t="shared" si="51"/>
        <v>0</v>
      </c>
      <c r="AK29" s="10">
        <f t="shared" si="51"/>
        <v>0</v>
      </c>
      <c r="AL29" s="10">
        <f t="shared" si="51"/>
        <v>0</v>
      </c>
      <c r="AO29" t="s">
        <v>58</v>
      </c>
      <c r="AP29" s="4">
        <f>Main!D3</f>
        <v>22.57</v>
      </c>
    </row>
    <row r="30" spans="2:156" x14ac:dyDescent="0.3">
      <c r="B30" t="s">
        <v>51</v>
      </c>
      <c r="C30" s="10">
        <f t="shared" ref="C30:P30" si="52">C18/C3</f>
        <v>-74</v>
      </c>
      <c r="D30" s="10">
        <f t="shared" si="52"/>
        <v>-100</v>
      </c>
      <c r="E30" s="10">
        <f t="shared" si="52"/>
        <v>-74.499999999999986</v>
      </c>
      <c r="F30" s="10">
        <f t="shared" si="52"/>
        <v>-46.25</v>
      </c>
      <c r="G30" s="10">
        <f t="shared" si="52"/>
        <v>-2.1500000000000004</v>
      </c>
      <c r="H30" s="10">
        <f t="shared" si="52"/>
        <v>-0.57692307692307554</v>
      </c>
      <c r="I30" s="10">
        <f t="shared" si="52"/>
        <v>-8.5357142857142865</v>
      </c>
      <c r="J30" s="10">
        <f t="shared" si="52"/>
        <v>-4.9210526315789469</v>
      </c>
      <c r="K30" s="10">
        <f t="shared" si="52"/>
        <v>-6.3488372093023262</v>
      </c>
      <c r="L30" s="10">
        <f t="shared" si="52"/>
        <v>-7.9454545454545444</v>
      </c>
      <c r="M30" s="10">
        <f t="shared" si="52"/>
        <v>-7.3114754098360661</v>
      </c>
      <c r="N30" s="10">
        <f t="shared" si="52"/>
        <v>-6.8688524590163951</v>
      </c>
      <c r="O30" s="10">
        <f t="shared" si="52"/>
        <v>-5.2105263157894752</v>
      </c>
      <c r="P30" s="10">
        <f t="shared" si="52"/>
        <v>-3.2982456140350873</v>
      </c>
      <c r="Q30" s="10">
        <f>Q18/Q3</f>
        <v>-4.2338709677419359</v>
      </c>
      <c r="R30" s="10">
        <f>R18/R3</f>
        <v>-17.264957264957268</v>
      </c>
      <c r="S30" s="10">
        <f t="shared" ref="S30:V30" si="53">S18/S3</f>
        <v>0</v>
      </c>
      <c r="T30" s="10">
        <f t="shared" si="53"/>
        <v>0</v>
      </c>
      <c r="U30" s="10">
        <f t="shared" si="53"/>
        <v>0</v>
      </c>
      <c r="V30" s="10">
        <f t="shared" si="53"/>
        <v>0</v>
      </c>
      <c r="X30" s="10">
        <f t="shared" ref="X30" si="54">X18/X3</f>
        <v>-53.15</v>
      </c>
      <c r="Y30" s="10">
        <f>Y18/Y3</f>
        <v>-4.3214285714285721</v>
      </c>
      <c r="Z30" s="10">
        <f t="shared" ref="Z30:AL30" si="55">Z18/Z3</f>
        <v>-7.1590909090909101</v>
      </c>
      <c r="AA30" s="10">
        <f t="shared" si="55"/>
        <v>-7.6960556844547572</v>
      </c>
      <c r="AB30" s="10">
        <f t="shared" si="55"/>
        <v>-2.8633648640609204</v>
      </c>
      <c r="AC30" s="10">
        <f t="shared" si="55"/>
        <v>-1.6484485824393023</v>
      </c>
      <c r="AD30" s="10">
        <f t="shared" si="55"/>
        <v>-0.91353821657165524</v>
      </c>
      <c r="AE30" s="10">
        <f t="shared" si="55"/>
        <v>-0.49079980087212099</v>
      </c>
      <c r="AF30" s="10">
        <f t="shared" si="55"/>
        <v>-0.21586914071531749</v>
      </c>
      <c r="AG30" s="10">
        <f t="shared" si="55"/>
        <v>-2.4349844600287246E-2</v>
      </c>
      <c r="AH30" s="10">
        <f t="shared" si="55"/>
        <v>8.0163711956684175E-2</v>
      </c>
      <c r="AI30" s="10">
        <f t="shared" si="55"/>
        <v>0.15271147717523786</v>
      </c>
      <c r="AJ30" s="10">
        <f t="shared" si="55"/>
        <v>0.20910437251036085</v>
      </c>
      <c r="AK30" s="10">
        <f t="shared" si="55"/>
        <v>0.24262644408570172</v>
      </c>
      <c r="AL30" s="10">
        <f t="shared" si="55"/>
        <v>0.26468636504594173</v>
      </c>
      <c r="AO30" s="1" t="s">
        <v>59</v>
      </c>
      <c r="AP30" s="9">
        <f>AP28/AP29-1</f>
        <v>-0.68463910360246483</v>
      </c>
    </row>
    <row r="31" spans="2:156" x14ac:dyDescent="0.3">
      <c r="AO31" t="s">
        <v>60</v>
      </c>
      <c r="AP31" s="6" t="s">
        <v>61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Mniszek</dc:creator>
  <cp:lastModifiedBy>Anton Mniszek</cp:lastModifiedBy>
  <dcterms:created xsi:type="dcterms:W3CDTF">2025-01-08T06:52:34Z</dcterms:created>
  <dcterms:modified xsi:type="dcterms:W3CDTF">2025-03-29T10:08:14Z</dcterms:modified>
</cp:coreProperties>
</file>