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3944CEC-1FDF-4BD8-B3F8-17B1EFBDC1AF}" xr6:coauthVersionLast="46" xr6:coauthVersionMax="46" xr10:uidLastSave="{00000000-0000-0000-0000-000000000000}"/>
  <bookViews>
    <workbookView xWindow="-108" yWindow="-108" windowWidth="23256" windowHeight="12576" activeTab="1" xr2:uid="{8E1A3549-F8B8-4E5D-8D16-11995B547C13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2" l="1"/>
  <c r="AI5" i="2"/>
  <c r="AJ5" i="2"/>
  <c r="AK5" i="2"/>
  <c r="AL5" i="2"/>
  <c r="AM5" i="2"/>
  <c r="AN5" i="2"/>
  <c r="AO5" i="2"/>
  <c r="AP5" i="2"/>
  <c r="AL3" i="2"/>
  <c r="AG5" i="2"/>
  <c r="AG12" i="2"/>
  <c r="AG10" i="2"/>
  <c r="AG8" i="2"/>
  <c r="AG7" i="2"/>
  <c r="AG6" i="2"/>
  <c r="AG4" i="2"/>
  <c r="AG3" i="2"/>
  <c r="Z13" i="2"/>
  <c r="Z15" i="2" s="1"/>
  <c r="Y13" i="2"/>
  <c r="Y15" i="2" s="1"/>
  <c r="X13" i="2"/>
  <c r="X15" i="2" s="1"/>
  <c r="W13" i="2"/>
  <c r="W15" i="2" s="1"/>
  <c r="Z12" i="2"/>
  <c r="Y12" i="2"/>
  <c r="Y21" i="2" s="1"/>
  <c r="X12" i="2"/>
  <c r="W12" i="2"/>
  <c r="Z11" i="2"/>
  <c r="Y11" i="2"/>
  <c r="X11" i="2"/>
  <c r="W11" i="2"/>
  <c r="Z9" i="2"/>
  <c r="Z19" i="2" s="1"/>
  <c r="Y9" i="2"/>
  <c r="Y19" i="2" s="1"/>
  <c r="X9" i="2"/>
  <c r="X19" i="2" s="1"/>
  <c r="W9" i="2"/>
  <c r="Z6" i="2"/>
  <c r="Z20" i="2" s="1"/>
  <c r="X6" i="2"/>
  <c r="X20" i="2" s="1"/>
  <c r="Y6" i="2"/>
  <c r="Y20" i="2" s="1"/>
  <c r="W6" i="2"/>
  <c r="W20" i="2" s="1"/>
  <c r="Y5" i="2"/>
  <c r="Z5" i="2"/>
  <c r="Z4" i="2" s="1"/>
  <c r="X5" i="2"/>
  <c r="Y4" i="2"/>
  <c r="W5" i="2"/>
  <c r="X4" i="2"/>
  <c r="W4" i="2"/>
  <c r="Z3" i="2"/>
  <c r="Y3" i="2"/>
  <c r="Y18" i="2" s="1"/>
  <c r="X3" i="2"/>
  <c r="W3" i="2"/>
  <c r="X21" i="2"/>
  <c r="Y17" i="2"/>
  <c r="V10" i="2"/>
  <c r="V8" i="2"/>
  <c r="V7" i="2"/>
  <c r="V6" i="2"/>
  <c r="V4" i="2"/>
  <c r="V3" i="2"/>
  <c r="AF10" i="2"/>
  <c r="Z21" i="2" l="1"/>
  <c r="W21" i="2"/>
  <c r="Z18" i="2"/>
  <c r="X18" i="2"/>
  <c r="W18" i="2"/>
  <c r="Z17" i="2"/>
  <c r="W17" i="2"/>
  <c r="W19" i="2"/>
  <c r="X17" i="2"/>
  <c r="D7" i="1"/>
  <c r="D6" i="1"/>
  <c r="AS25" i="2" l="1"/>
  <c r="AP7" i="2"/>
  <c r="AO7" i="2"/>
  <c r="AN7" i="2"/>
  <c r="AM7" i="2"/>
  <c r="AL7" i="2"/>
  <c r="AK7" i="2"/>
  <c r="AJ7" i="2"/>
  <c r="AI7" i="2"/>
  <c r="AH7" i="2"/>
  <c r="V5" i="2" l="1"/>
  <c r="V18" i="2" s="1"/>
  <c r="AE12" i="2"/>
  <c r="AE8" i="2"/>
  <c r="AE7" i="2"/>
  <c r="AE6" i="2"/>
  <c r="AE20" i="2" s="1"/>
  <c r="AE4" i="2"/>
  <c r="AE3" i="2"/>
  <c r="AD12" i="2"/>
  <c r="AD8" i="2"/>
  <c r="AD7" i="2"/>
  <c r="AD6" i="2"/>
  <c r="AD4" i="2"/>
  <c r="AD3" i="2"/>
  <c r="AD17" i="2" s="1"/>
  <c r="AC12" i="2"/>
  <c r="AC8" i="2"/>
  <c r="AC7" i="2"/>
  <c r="AC6" i="2"/>
  <c r="AC20" i="2" s="1"/>
  <c r="AC4" i="2"/>
  <c r="AC3" i="2"/>
  <c r="AB12" i="2"/>
  <c r="AB8" i="2"/>
  <c r="AB7" i="2"/>
  <c r="AB6" i="2"/>
  <c r="AB4" i="2"/>
  <c r="AB3" i="2"/>
  <c r="AB5" i="2" s="1"/>
  <c r="AB18" i="2" s="1"/>
  <c r="AD20" i="2" l="1"/>
  <c r="AC17" i="2"/>
  <c r="AE17" i="2"/>
  <c r="V9" i="2"/>
  <c r="V11" i="2" s="1"/>
  <c r="AE5" i="2"/>
  <c r="AD5" i="2"/>
  <c r="AC5" i="2"/>
  <c r="AB9" i="2"/>
  <c r="V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9" i="2" l="1"/>
  <c r="AB19" i="2"/>
  <c r="AC9" i="2"/>
  <c r="AC18" i="2"/>
  <c r="AD9" i="2"/>
  <c r="AD18" i="2"/>
  <c r="AE9" i="2"/>
  <c r="AE18" i="2"/>
  <c r="U4" i="2"/>
  <c r="U3" i="2"/>
  <c r="U17" i="2" s="1"/>
  <c r="T12" i="2"/>
  <c r="U12" i="2" s="1"/>
  <c r="T8" i="2"/>
  <c r="T7" i="2"/>
  <c r="T6" i="2"/>
  <c r="T4" i="2"/>
  <c r="T3" i="2"/>
  <c r="S10" i="2"/>
  <c r="T10" i="2" s="1"/>
  <c r="U10" i="2" s="1"/>
  <c r="S5" i="2"/>
  <c r="C5" i="2"/>
  <c r="E10" i="2"/>
  <c r="D5" i="2"/>
  <c r="E5" i="2"/>
  <c r="F10" i="2"/>
  <c r="F5" i="2"/>
  <c r="G10" i="2"/>
  <c r="G5" i="2"/>
  <c r="H5" i="2"/>
  <c r="I10" i="2"/>
  <c r="I5" i="2"/>
  <c r="J10" i="2"/>
  <c r="J5" i="2"/>
  <c r="K10" i="2"/>
  <c r="K5" i="2"/>
  <c r="L10" i="2"/>
  <c r="L5" i="2"/>
  <c r="M10" i="2"/>
  <c r="M5" i="2"/>
  <c r="N10" i="2"/>
  <c r="N5" i="2"/>
  <c r="O10" i="2"/>
  <c r="O5" i="2"/>
  <c r="P10" i="2"/>
  <c r="P5" i="2"/>
  <c r="Q10" i="2"/>
  <c r="Q5" i="2"/>
  <c r="R10" i="2"/>
  <c r="R5" i="2"/>
  <c r="R18" i="2" s="1"/>
  <c r="AB10" i="2" l="1"/>
  <c r="AB11" i="2" s="1"/>
  <c r="AB21" i="2" s="1"/>
  <c r="AB13" i="2"/>
  <c r="AB15" i="2" s="1"/>
  <c r="AD19" i="2"/>
  <c r="AC19" i="2"/>
  <c r="Q9" i="2"/>
  <c r="Q18" i="2"/>
  <c r="T20" i="2"/>
  <c r="D9" i="2"/>
  <c r="D18" i="2"/>
  <c r="L9" i="2"/>
  <c r="L18" i="2"/>
  <c r="C9" i="2"/>
  <c r="C18" i="2"/>
  <c r="R9" i="2"/>
  <c r="G9" i="2"/>
  <c r="G18" i="2"/>
  <c r="S9" i="2"/>
  <c r="S18" i="2"/>
  <c r="E9" i="2"/>
  <c r="E18" i="2"/>
  <c r="I9" i="2"/>
  <c r="I18" i="2"/>
  <c r="AC10" i="2"/>
  <c r="AC11" i="2" s="1"/>
  <c r="AH10" i="2"/>
  <c r="AI10" i="2" s="1"/>
  <c r="AJ10" i="2" s="1"/>
  <c r="AK10" i="2" s="1"/>
  <c r="AL10" i="2" s="1"/>
  <c r="U6" i="2"/>
  <c r="U20" i="2" s="1"/>
  <c r="P9" i="2"/>
  <c r="P19" i="2" s="1"/>
  <c r="P18" i="2"/>
  <c r="O9" i="2"/>
  <c r="O18" i="2"/>
  <c r="K9" i="2"/>
  <c r="K18" i="2"/>
  <c r="AD10" i="2"/>
  <c r="AD11" i="2" s="1"/>
  <c r="F9" i="2"/>
  <c r="F18" i="2"/>
  <c r="T17" i="2"/>
  <c r="U7" i="2"/>
  <c r="AE19" i="2"/>
  <c r="M9" i="2"/>
  <c r="M18" i="2"/>
  <c r="H9" i="2"/>
  <c r="H18" i="2"/>
  <c r="AE10" i="2"/>
  <c r="AE11" i="2" s="1"/>
  <c r="N9" i="2"/>
  <c r="N18" i="2"/>
  <c r="J9" i="2"/>
  <c r="J18" i="2"/>
  <c r="U8" i="2"/>
  <c r="U5" i="2"/>
  <c r="T5" i="2"/>
  <c r="D8" i="1"/>
  <c r="AS22" i="2" s="1"/>
  <c r="D5" i="1"/>
  <c r="F3" i="1"/>
  <c r="AE13" i="2" l="1"/>
  <c r="AE15" i="2" s="1"/>
  <c r="AE21" i="2"/>
  <c r="AH8" i="2"/>
  <c r="AI8" i="2" s="1"/>
  <c r="AJ8" i="2" s="1"/>
  <c r="AK8" i="2" s="1"/>
  <c r="AL8" i="2" s="1"/>
  <c r="AM8" i="2" s="1"/>
  <c r="AN8" i="2" s="1"/>
  <c r="AO8" i="2" s="1"/>
  <c r="AP8" i="2" s="1"/>
  <c r="AD13" i="2"/>
  <c r="AD15" i="2" s="1"/>
  <c r="AD21" i="2"/>
  <c r="N11" i="2"/>
  <c r="N19" i="2"/>
  <c r="H11" i="2"/>
  <c r="H19" i="2"/>
  <c r="E11" i="2"/>
  <c r="E19" i="2"/>
  <c r="F11" i="2"/>
  <c r="F19" i="2"/>
  <c r="L11" i="2"/>
  <c r="L19" i="2"/>
  <c r="AC13" i="2"/>
  <c r="AC15" i="2" s="1"/>
  <c r="AC21" i="2"/>
  <c r="C11" i="2"/>
  <c r="C19" i="2"/>
  <c r="Q11" i="2"/>
  <c r="Q19" i="2"/>
  <c r="P11" i="2"/>
  <c r="M11" i="2"/>
  <c r="M19" i="2"/>
  <c r="T9" i="2"/>
  <c r="T18" i="2"/>
  <c r="J11" i="2"/>
  <c r="J19" i="2"/>
  <c r="U9" i="2"/>
  <c r="U18" i="2"/>
  <c r="K11" i="2"/>
  <c r="K19" i="2"/>
  <c r="S11" i="2"/>
  <c r="S19" i="2"/>
  <c r="D11" i="2"/>
  <c r="D19" i="2"/>
  <c r="O11" i="2"/>
  <c r="O19" i="2"/>
  <c r="I11" i="2"/>
  <c r="I19" i="2"/>
  <c r="G11" i="2"/>
  <c r="G19" i="2"/>
  <c r="AG17" i="2"/>
  <c r="AF5" i="2"/>
  <c r="AF17" i="2"/>
  <c r="R19" i="2"/>
  <c r="R11" i="2"/>
  <c r="D9" i="1"/>
  <c r="P13" i="2" l="1"/>
  <c r="P15" i="2" s="1"/>
  <c r="P21" i="2"/>
  <c r="O13" i="2"/>
  <c r="O15" i="2" s="1"/>
  <c r="O21" i="2"/>
  <c r="L13" i="2"/>
  <c r="L15" i="2" s="1"/>
  <c r="L21" i="2"/>
  <c r="N13" i="2"/>
  <c r="N15" i="2" s="1"/>
  <c r="N21" i="2"/>
  <c r="AH3" i="2"/>
  <c r="Q13" i="2"/>
  <c r="Q15" i="2" s="1"/>
  <c r="Q21" i="2"/>
  <c r="D13" i="2"/>
  <c r="D15" i="2" s="1"/>
  <c r="D21" i="2"/>
  <c r="AF20" i="2"/>
  <c r="S13" i="2"/>
  <c r="S15" i="2" s="1"/>
  <c r="S21" i="2"/>
  <c r="T11" i="2"/>
  <c r="T19" i="2"/>
  <c r="E13" i="2"/>
  <c r="E15" i="2" s="1"/>
  <c r="E21" i="2"/>
  <c r="AF18" i="2"/>
  <c r="AF9" i="2"/>
  <c r="J13" i="2"/>
  <c r="J15" i="2" s="1"/>
  <c r="J21" i="2"/>
  <c r="G13" i="2"/>
  <c r="G15" i="2" s="1"/>
  <c r="G21" i="2"/>
  <c r="R21" i="2"/>
  <c r="R13" i="2"/>
  <c r="R15" i="2" s="1"/>
  <c r="U11" i="2"/>
  <c r="U19" i="2"/>
  <c r="F13" i="2"/>
  <c r="F15" i="2" s="1"/>
  <c r="F21" i="2"/>
  <c r="C13" i="2"/>
  <c r="C15" i="2" s="1"/>
  <c r="C21" i="2"/>
  <c r="I13" i="2"/>
  <c r="I15" i="2" s="1"/>
  <c r="I21" i="2"/>
  <c r="K13" i="2"/>
  <c r="K15" i="2" s="1"/>
  <c r="K21" i="2"/>
  <c r="M13" i="2"/>
  <c r="M15" i="2" s="1"/>
  <c r="M21" i="2"/>
  <c r="H13" i="2"/>
  <c r="H15" i="2" s="1"/>
  <c r="H21" i="2"/>
  <c r="AF11" i="2" l="1"/>
  <c r="AF19" i="2"/>
  <c r="AH6" i="2"/>
  <c r="AG20" i="2"/>
  <c r="U13" i="2"/>
  <c r="U15" i="2" s="1"/>
  <c r="U21" i="2"/>
  <c r="T13" i="2"/>
  <c r="T15" i="2" s="1"/>
  <c r="T21" i="2"/>
  <c r="AG18" i="2"/>
  <c r="AG9" i="2"/>
  <c r="AI3" i="2"/>
  <c r="AH17" i="2"/>
  <c r="AG11" i="2" l="1"/>
  <c r="AG19" i="2"/>
  <c r="AI6" i="2"/>
  <c r="AH20" i="2"/>
  <c r="AJ3" i="2"/>
  <c r="AI17" i="2"/>
  <c r="AG21" i="2" l="1"/>
  <c r="AK3" i="2"/>
  <c r="AJ17" i="2"/>
  <c r="AJ6" i="2"/>
  <c r="AI20" i="2"/>
  <c r="AK6" i="2" l="1"/>
  <c r="AJ20" i="2"/>
  <c r="AG13" i="2"/>
  <c r="AG15" i="2" s="1"/>
  <c r="AK17" i="2"/>
  <c r="AL6" i="2" l="1"/>
  <c r="AK20" i="2"/>
  <c r="AM3" i="2"/>
  <c r="AL17" i="2"/>
  <c r="AN3" i="2" l="1"/>
  <c r="AM17" i="2"/>
  <c r="AM6" i="2"/>
  <c r="AL20" i="2"/>
  <c r="AO3" i="2" l="1"/>
  <c r="AN17" i="2"/>
  <c r="AN6" i="2"/>
  <c r="AM20" i="2"/>
  <c r="AO6" i="2" l="1"/>
  <c r="AN20" i="2"/>
  <c r="AP3" i="2"/>
  <c r="AO17" i="2"/>
  <c r="AP6" i="2" l="1"/>
  <c r="AP20" i="2" s="1"/>
  <c r="AO20" i="2"/>
  <c r="AP17" i="2"/>
  <c r="AF13" i="2" l="1"/>
  <c r="AF15" i="2"/>
  <c r="V21" i="2"/>
  <c r="V12" i="2"/>
  <c r="V13" i="2" s="1"/>
  <c r="V15" i="2" s="1"/>
  <c r="AF21" i="2"/>
  <c r="AP9" i="2"/>
  <c r="AP19" i="2"/>
  <c r="AP4" i="2"/>
  <c r="AP18" i="2"/>
  <c r="AO9" i="2"/>
  <c r="AO19" i="2" s="1"/>
  <c r="AO4" i="2"/>
  <c r="AO18" i="2"/>
  <c r="AN18" i="2"/>
  <c r="AN4" i="2"/>
  <c r="AN9" i="2"/>
  <c r="AN19" i="2"/>
  <c r="AL9" i="2"/>
  <c r="AL11" i="2" s="1"/>
  <c r="AL19" i="2"/>
  <c r="AL4" i="2"/>
  <c r="AL18" i="2"/>
  <c r="AM18" i="2"/>
  <c r="AM4" i="2"/>
  <c r="AM9" i="2"/>
  <c r="AM19" i="2"/>
  <c r="AK9" i="2"/>
  <c r="AK11" i="2" s="1"/>
  <c r="AK19" i="2"/>
  <c r="AK4" i="2"/>
  <c r="AK18" i="2"/>
  <c r="AJ9" i="2"/>
  <c r="AJ11" i="2" s="1"/>
  <c r="AH11" i="2"/>
  <c r="AH12" i="2" s="1"/>
  <c r="AH21" i="2" s="1"/>
  <c r="AI9" i="2"/>
  <c r="AI11" i="2" s="1"/>
  <c r="AI19" i="2"/>
  <c r="AJ4" i="2"/>
  <c r="AJ18" i="2"/>
  <c r="AH9" i="2"/>
  <c r="AH19" i="2"/>
  <c r="AI4" i="2"/>
  <c r="AI18" i="2"/>
  <c r="AH4" i="2"/>
  <c r="AH18" i="2"/>
  <c r="AL12" i="2" l="1"/>
  <c r="AL21" i="2" s="1"/>
  <c r="AI12" i="2"/>
  <c r="AI21" i="2" s="1"/>
  <c r="AI13" i="2"/>
  <c r="AJ12" i="2"/>
  <c r="AJ21" i="2" s="1"/>
  <c r="AJ13" i="2"/>
  <c r="AK12" i="2"/>
  <c r="AK21" i="2" s="1"/>
  <c r="AK13" i="2"/>
  <c r="AJ19" i="2"/>
  <c r="AH13" i="2"/>
  <c r="AJ15" i="2" l="1"/>
  <c r="AH15" i="2"/>
  <c r="AI15" i="2"/>
  <c r="AK15" i="2"/>
  <c r="AL13" i="2"/>
  <c r="AL15" i="2" l="1"/>
  <c r="AM10" i="2"/>
  <c r="AM11" i="2" s="1"/>
  <c r="AM12" i="2" l="1"/>
  <c r="AM21" i="2" s="1"/>
  <c r="AM13" i="2" l="1"/>
  <c r="AN10" i="2" l="1"/>
  <c r="AN11" i="2" s="1"/>
  <c r="AM15" i="2"/>
  <c r="AN12" i="2" l="1"/>
  <c r="AN21" i="2" s="1"/>
  <c r="AN13" i="2" l="1"/>
  <c r="AN15" i="2" l="1"/>
  <c r="AO10" i="2"/>
  <c r="AO11" i="2" s="1"/>
  <c r="AO12" i="2" l="1"/>
  <c r="AO21" i="2" s="1"/>
  <c r="AO13" i="2"/>
  <c r="AP10" i="2" l="1"/>
  <c r="AP11" i="2" s="1"/>
  <c r="AO15" i="2"/>
  <c r="AP12" i="2" l="1"/>
  <c r="AP21" i="2" s="1"/>
  <c r="AP13" i="2"/>
  <c r="AQ13" i="2" l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AP15" i="2"/>
  <c r="AS21" i="2" l="1"/>
  <c r="AS23" i="2" s="1"/>
  <c r="AS24" i="2" s="1"/>
  <c r="AS26" i="2" s="1"/>
</calcChain>
</file>

<file path=xl/sharedStrings.xml><?xml version="1.0" encoding="utf-8"?>
<sst xmlns="http://schemas.openxmlformats.org/spreadsheetml/2006/main" count="66" uniqueCount="61">
  <si>
    <t>ITX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</si>
  <si>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</si>
  <si>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</si>
  <si>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</si>
  <si>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</si>
  <si>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</si>
  <si>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</si>
  <si>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</si>
  <si>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</si>
  <si>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</si>
  <si>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</si>
  <si>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Q320</t>
  </si>
  <si>
    <t>Revenue</t>
  </si>
  <si>
    <t>Cost of sales</t>
  </si>
  <si>
    <t>Gross profit</t>
  </si>
  <si>
    <t>Operating expenses</t>
  </si>
  <si>
    <t>Other operating expenses</t>
  </si>
  <si>
    <t>Operating profit</t>
  </si>
  <si>
    <t>D&amp;A</t>
  </si>
  <si>
    <t>Q118</t>
  </si>
  <si>
    <t>Q117</t>
  </si>
  <si>
    <t>Q116</t>
  </si>
  <si>
    <t>Q216</t>
  </si>
  <si>
    <t>Q316</t>
  </si>
  <si>
    <t>Q416</t>
  </si>
  <si>
    <t>Q217</t>
  </si>
  <si>
    <t>Q317</t>
  </si>
  <si>
    <t>Q417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</si>
  <si>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</si>
  <si>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</si>
  <si>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</si>
  <si>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</si>
  <si>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</si>
  <si>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</si>
  <si>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</si>
  <si>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</si>
  <si>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</si>
  <si>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Q420</t>
  </si>
  <si>
    <t>Net finance expense</t>
  </si>
  <si>
    <t>Pretax profit</t>
  </si>
  <si>
    <t>Taxes</t>
  </si>
  <si>
    <t>Net profit</t>
  </si>
  <si>
    <t>EPS</t>
  </si>
  <si>
    <t>Revenue y/y</t>
  </si>
  <si>
    <t>Gross Margin</t>
  </si>
  <si>
    <t>Operating Margin</t>
  </si>
  <si>
    <t>Operating y/y</t>
  </si>
  <si>
    <t>Maturity</t>
  </si>
  <si>
    <t>Discount rate</t>
  </si>
  <si>
    <t>NPV</t>
  </si>
  <si>
    <t>Value</t>
  </si>
  <si>
    <t>Per share</t>
  </si>
  <si>
    <t>Current price</t>
  </si>
  <si>
    <t>Net cash</t>
  </si>
  <si>
    <t>Variance</t>
  </si>
  <si>
    <t>Consensus</t>
  </si>
  <si>
    <t>Q121</t>
  </si>
  <si>
    <t>Q221</t>
  </si>
  <si>
    <t>Q321</t>
  </si>
  <si>
    <t>Q421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</si>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</sst>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0" fontId="0" fillId="0" borderId="0" xfId="0" applyFont="1"/>
    <xf numFmtId="9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0</xdr:row>
      <xdr:rowOff>0</xdr:rowOff>
    </xdr:from>
    <xdr:to>
      <xdr:col>22</xdr:col>
      <xdr:colOff>30480</xdr:colOff>
      <xdr:row>33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B3D643C-5046-43BE-8608-8E0F2DD95F7B}"/>
            </a:ext>
          </a:extLst>
        </xdr:cNvPr>
        <xdr:cNvCxnSpPr/>
      </xdr:nvCxnSpPr>
      <xdr:spPr>
        <a:xfrm>
          <a:off x="16634460" y="0"/>
          <a:ext cx="0" cy="6111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22860</xdr:colOff>
      <xdr:row>0</xdr:row>
      <xdr:rowOff>0</xdr:rowOff>
    </xdr:from>
    <xdr:to>
      <xdr:col>32</xdr:col>
      <xdr:colOff>22860</xdr:colOff>
      <xdr:row>33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6A091EC-813D-4FC7-91EB-355A88EA470E}"/>
            </a:ext>
          </a:extLst>
        </xdr:cNvPr>
        <xdr:cNvCxnSpPr/>
      </xdr:nvCxnSpPr>
      <xdr:spPr>
        <a:xfrm>
          <a:off x="2318004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7372-1414-4535-A5E9-7D43053BEE33}">
  <dimension ref="B2:G9"/>
  <sheetViews>
    <sheetView workbookViewId="0">
      <selection activeCell="E4" sqref="E4"/>
    </sheetView>
  </sheetViews>
  <sheetFormatPr defaultRowHeight="14.4" x14ac:dyDescent="0.3"/>
  <cols>
    <col min="4" max="4" width="8.88671875" customWidth="1"/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31.81</v>
      </c>
      <c r="E3" s="3">
        <v>44336</v>
      </c>
      <c r="F3" s="3">
        <f ca="1">TODAY()</f>
        <v>44336</v>
      </c>
      <c r="G3" s="3">
        <v>44356</v>
      </c>
    </row>
    <row r="4" spans="2:7" x14ac:dyDescent="0.3">
      <c r="C4" t="s">
        <v>2</v>
      </c>
      <c r="D4" s="5">
        <v>3114.9</v>
      </c>
      <c r="E4" s="2" t="s">
        <v>37</v>
      </c>
    </row>
    <row r="5" spans="2:7" x14ac:dyDescent="0.3">
      <c r="C5" t="s">
        <v>3</v>
      </c>
      <c r="D5" s="5">
        <f>D3*D4</f>
        <v>99084.968999999997</v>
      </c>
    </row>
    <row r="6" spans="2:7" x14ac:dyDescent="0.3">
      <c r="C6" t="s">
        <v>4</v>
      </c>
      <c r="D6" s="5">
        <f>7398+176+261</f>
        <v>7835</v>
      </c>
      <c r="E6" s="2" t="s">
        <v>37</v>
      </c>
    </row>
    <row r="7" spans="2:7" x14ac:dyDescent="0.3">
      <c r="C7" t="s">
        <v>5</v>
      </c>
      <c r="D7" s="5">
        <f>11+3</f>
        <v>14</v>
      </c>
      <c r="E7" s="2" t="s">
        <v>37</v>
      </c>
    </row>
    <row r="8" spans="2:7" x14ac:dyDescent="0.3">
      <c r="C8" t="s">
        <v>6</v>
      </c>
      <c r="D8" s="5">
        <f>D6-D7</f>
        <v>7821</v>
      </c>
    </row>
    <row r="9" spans="2:7" x14ac:dyDescent="0.3">
      <c r="C9" t="s">
        <v>7</v>
      </c>
      <c r="D9" s="5">
        <f>D5-D8</f>
        <v>91263.968999999997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7BB2-D8B4-42AE-9AC6-EEBF01A19113}">
  <dimension ref="B1:EM27"/>
  <sheetViews>
    <sheetView tabSelected="1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S27" sqref="AS27"/>
    </sheetView>
  </sheetViews>
  <sheetFormatPr defaultRowHeight="14.4" x14ac:dyDescent="0.3"/>
  <cols>
    <col min="2" max="2" width="22.109375" bestFit="1" customWidth="1"/>
    <col min="3" max="26" width="10.5546875" customWidth="1"/>
    <col min="44" max="44" width="12" bestFit="1" customWidth="1"/>
    <col min="45" max="45" width="17.33203125" bestFit="1" customWidth="1"/>
  </cols>
  <sheetData>
    <row r="1" spans="2:143" x14ac:dyDescent="0.3">
      <c r="C1" s="13">
        <v>42490</v>
      </c>
      <c r="D1" s="13">
        <v>42582</v>
      </c>
      <c r="E1" s="13">
        <v>42674</v>
      </c>
      <c r="F1" s="13">
        <v>42766</v>
      </c>
      <c r="G1" s="13">
        <v>42855</v>
      </c>
      <c r="H1" s="13">
        <v>42947</v>
      </c>
      <c r="I1" s="13">
        <v>43039</v>
      </c>
      <c r="J1" s="13">
        <v>43131</v>
      </c>
      <c r="K1" s="13">
        <v>43220</v>
      </c>
      <c r="L1" s="13">
        <v>43312</v>
      </c>
      <c r="M1" s="13">
        <v>43404</v>
      </c>
      <c r="N1" s="13">
        <v>43496</v>
      </c>
      <c r="O1" s="13">
        <v>43585</v>
      </c>
      <c r="P1" s="13">
        <v>43677</v>
      </c>
      <c r="Q1" s="13">
        <v>43769</v>
      </c>
      <c r="R1" s="13">
        <v>43861</v>
      </c>
      <c r="S1" s="13">
        <v>43951</v>
      </c>
      <c r="T1" s="13">
        <v>44043</v>
      </c>
      <c r="U1" s="13">
        <v>44135</v>
      </c>
      <c r="V1" s="13">
        <v>44227</v>
      </c>
      <c r="W1" s="13">
        <v>44316</v>
      </c>
      <c r="X1" s="13">
        <v>44408</v>
      </c>
      <c r="Y1" s="13">
        <v>44500</v>
      </c>
      <c r="Z1" s="13">
        <v>44592</v>
      </c>
    </row>
    <row r="2" spans="2:143" x14ac:dyDescent="0.3">
      <c r="C2" s="6" t="s">
        <v>21</v>
      </c>
      <c r="D2" s="6" t="s">
        <v>22</v>
      </c>
      <c r="E2" s="6" t="s">
        <v>23</v>
      </c>
      <c r="F2" s="6" t="s">
        <v>24</v>
      </c>
      <c r="G2" s="6" t="s">
        <v>20</v>
      </c>
      <c r="H2" s="6" t="s">
        <v>25</v>
      </c>
      <c r="I2" s="6" t="s">
        <v>26</v>
      </c>
      <c r="J2" s="6" t="s">
        <v>27</v>
      </c>
      <c r="K2" s="6" t="s">
        <v>19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6" t="s">
        <v>11</v>
      </c>
      <c r="V2" s="6" t="s">
        <v>37</v>
      </c>
      <c r="W2" s="6" t="s">
        <v>56</v>
      </c>
      <c r="X2" s="6" t="s">
        <v>57</v>
      </c>
      <c r="Y2" s="6" t="s">
        <v>58</v>
      </c>
      <c r="Z2" s="6" t="s">
        <v>59</v>
      </c>
      <c r="AB2">
        <v>2016</v>
      </c>
      <c r="AC2">
        <v>2017</v>
      </c>
      <c r="AD2">
        <v>2018</v>
      </c>
      <c r="AE2">
        <v>2019</v>
      </c>
      <c r="AF2">
        <v>2020</v>
      </c>
      <c r="AG2">
        <v>2021</v>
      </c>
      <c r="AH2">
        <v>2022</v>
      </c>
      <c r="AI2">
        <v>2023</v>
      </c>
      <c r="AJ2">
        <v>2024</v>
      </c>
      <c r="AK2">
        <v>2025</v>
      </c>
      <c r="AL2">
        <v>2026</v>
      </c>
      <c r="AM2">
        <v>2027</v>
      </c>
      <c r="AN2">
        <v>2028</v>
      </c>
      <c r="AO2">
        <v>2029</v>
      </c>
      <c r="AP2">
        <v>2030</v>
      </c>
    </row>
    <row r="3" spans="2:143" s="1" customFormat="1" x14ac:dyDescent="0.3">
      <c r="B3" s="1" t="s">
        <v>12</v>
      </c>
      <c r="C3" s="10">
        <v>4879</v>
      </c>
      <c r="D3" s="10">
        <v>5586</v>
      </c>
      <c r="E3" s="10">
        <v>5937</v>
      </c>
      <c r="F3" s="10">
        <v>6908</v>
      </c>
      <c r="G3" s="10">
        <v>5569</v>
      </c>
      <c r="H3" s="10">
        <v>6102</v>
      </c>
      <c r="I3" s="10">
        <v>6291</v>
      </c>
      <c r="J3" s="10">
        <v>7373</v>
      </c>
      <c r="K3" s="10">
        <v>5654</v>
      </c>
      <c r="L3" s="10">
        <v>6372</v>
      </c>
      <c r="M3" s="10">
        <v>6412</v>
      </c>
      <c r="N3" s="10">
        <v>7708</v>
      </c>
      <c r="O3" s="10">
        <v>5927</v>
      </c>
      <c r="P3" s="10">
        <v>6893</v>
      </c>
      <c r="Q3" s="10">
        <v>7000</v>
      </c>
      <c r="R3" s="10">
        <v>8466</v>
      </c>
      <c r="S3" s="10">
        <v>3303</v>
      </c>
      <c r="T3" s="10">
        <f>8033-S3</f>
        <v>4730</v>
      </c>
      <c r="U3" s="10">
        <f>14085-T3-S3</f>
        <v>6052</v>
      </c>
      <c r="V3" s="10">
        <f>AF3-U3-T3-S3</f>
        <v>6317</v>
      </c>
      <c r="W3" s="10">
        <f>S3*1.55</f>
        <v>5119.6500000000005</v>
      </c>
      <c r="X3" s="10">
        <f>T3*1.3</f>
        <v>6149</v>
      </c>
      <c r="Y3" s="10">
        <f>U3*1.1</f>
        <v>6657.2000000000007</v>
      </c>
      <c r="Z3" s="10">
        <f>V3*1.12</f>
        <v>7075.0400000000009</v>
      </c>
      <c r="AB3" s="10">
        <f>SUM(C3:F3)</f>
        <v>23310</v>
      </c>
      <c r="AC3" s="10">
        <f>SUM(G3:J3)</f>
        <v>25335</v>
      </c>
      <c r="AD3" s="10">
        <f>SUM(K3:N3)</f>
        <v>26146</v>
      </c>
      <c r="AE3" s="10">
        <f>SUM(O3:R3)</f>
        <v>28286</v>
      </c>
      <c r="AF3" s="10">
        <v>20402</v>
      </c>
      <c r="AG3" s="10">
        <f>SUM(W3:Z3)</f>
        <v>25000.890000000003</v>
      </c>
      <c r="AH3" s="10">
        <f>AG3*1.1</f>
        <v>27500.979000000007</v>
      </c>
      <c r="AI3" s="10">
        <f>AH3*1.08</f>
        <v>29701.057320000011</v>
      </c>
      <c r="AJ3" s="10">
        <f>AI3*1.05</f>
        <v>31186.110186000013</v>
      </c>
      <c r="AK3" s="10">
        <f>AJ3*1.05</f>
        <v>32745.415695300013</v>
      </c>
      <c r="AL3" s="10">
        <f>AK3*1.04</f>
        <v>34055.232323112017</v>
      </c>
      <c r="AM3" s="10">
        <f>AL3*1.03</f>
        <v>35076.889292805376</v>
      </c>
      <c r="AN3" s="10">
        <f>AM3*1.03</f>
        <v>36129.195971589535</v>
      </c>
      <c r="AO3" s="10">
        <f t="shared" ref="AO3:AP3" si="0">AN3*1.03</f>
        <v>37213.071850737222</v>
      </c>
      <c r="AP3" s="10">
        <f t="shared" si="0"/>
        <v>38329.464006259339</v>
      </c>
    </row>
    <row r="4" spans="2:143" x14ac:dyDescent="0.3">
      <c r="B4" t="s">
        <v>13</v>
      </c>
      <c r="C4" s="5">
        <v>2045</v>
      </c>
      <c r="D4" s="5">
        <v>2475</v>
      </c>
      <c r="E4" s="5">
        <v>2391</v>
      </c>
      <c r="F4" s="5">
        <v>3121</v>
      </c>
      <c r="G4" s="5">
        <v>2329</v>
      </c>
      <c r="H4" s="5">
        <v>2760</v>
      </c>
      <c r="I4" s="5">
        <v>2554</v>
      </c>
      <c r="J4" s="5">
        <v>3432</v>
      </c>
      <c r="K4" s="5">
        <v>2326</v>
      </c>
      <c r="L4" s="5">
        <v>2882</v>
      </c>
      <c r="M4" s="5">
        <v>2534</v>
      </c>
      <c r="N4" s="5">
        <v>3586</v>
      </c>
      <c r="O4" s="5">
        <v>2402</v>
      </c>
      <c r="P4" s="5">
        <v>3134</v>
      </c>
      <c r="Q4" s="5">
        <v>2746</v>
      </c>
      <c r="R4" s="5">
        <v>4197</v>
      </c>
      <c r="S4" s="5">
        <v>1374</v>
      </c>
      <c r="T4" s="5">
        <f>3521-S4</f>
        <v>2147</v>
      </c>
      <c r="U4" s="5">
        <f>5913-T4-S4</f>
        <v>2392</v>
      </c>
      <c r="V4" s="11">
        <f>AF4-U4-T4-S4</f>
        <v>3100</v>
      </c>
      <c r="W4" s="5">
        <f>W3-W5</f>
        <v>2099.0565000000006</v>
      </c>
      <c r="X4" s="5">
        <f t="shared" ref="X4:Z4" si="1">X3-X5</f>
        <v>2767.0499999999997</v>
      </c>
      <c r="Y4" s="5">
        <f t="shared" si="1"/>
        <v>2729.4520000000007</v>
      </c>
      <c r="Z4" s="5">
        <f t="shared" si="1"/>
        <v>3325.2688000000003</v>
      </c>
      <c r="AB4" s="11">
        <f>SUM(C4:F4)</f>
        <v>10032</v>
      </c>
      <c r="AC4" s="11">
        <f>SUM(G4:J4)</f>
        <v>11075</v>
      </c>
      <c r="AD4" s="11">
        <f>SUM(K4:N4)</f>
        <v>11328</v>
      </c>
      <c r="AE4" s="11">
        <f>SUM(O4:R4)</f>
        <v>12479</v>
      </c>
      <c r="AF4" s="11">
        <v>9013</v>
      </c>
      <c r="AG4" s="11">
        <f>SUM(W4:Z4)</f>
        <v>10920.827300000001</v>
      </c>
      <c r="AH4" s="5">
        <f t="shared" ref="AH4:AP4" si="2">AH3-AH5</f>
        <v>11825.420970000005</v>
      </c>
      <c r="AI4" s="5">
        <f t="shared" si="2"/>
        <v>12771.454647600007</v>
      </c>
      <c r="AJ4" s="5">
        <f t="shared" si="2"/>
        <v>13410.027379980005</v>
      </c>
      <c r="AK4" s="5">
        <f t="shared" si="2"/>
        <v>14080.528748979006</v>
      </c>
      <c r="AL4" s="5">
        <f t="shared" si="2"/>
        <v>14643.749898938167</v>
      </c>
      <c r="AM4" s="5">
        <f t="shared" si="2"/>
        <v>15083.062395906312</v>
      </c>
      <c r="AN4" s="5">
        <f t="shared" si="2"/>
        <v>15535.554267783504</v>
      </c>
      <c r="AO4" s="5">
        <f t="shared" si="2"/>
        <v>16001.620895817006</v>
      </c>
      <c r="AP4" s="5">
        <f t="shared" si="2"/>
        <v>16481.669522691518</v>
      </c>
    </row>
    <row r="5" spans="2:143" s="1" customFormat="1" x14ac:dyDescent="0.3">
      <c r="B5" s="1" t="s">
        <v>14</v>
      </c>
      <c r="C5" s="10">
        <f t="shared" ref="C5:U5" si="3">C3-C4</f>
        <v>2834</v>
      </c>
      <c r="D5" s="10">
        <f t="shared" si="3"/>
        <v>3111</v>
      </c>
      <c r="E5" s="10">
        <f t="shared" si="3"/>
        <v>3546</v>
      </c>
      <c r="F5" s="10">
        <f t="shared" si="3"/>
        <v>3787</v>
      </c>
      <c r="G5" s="10">
        <f t="shared" si="3"/>
        <v>3240</v>
      </c>
      <c r="H5" s="10">
        <f t="shared" si="3"/>
        <v>3342</v>
      </c>
      <c r="I5" s="10">
        <f t="shared" si="3"/>
        <v>3737</v>
      </c>
      <c r="J5" s="10">
        <f t="shared" si="3"/>
        <v>3941</v>
      </c>
      <c r="K5" s="10">
        <f t="shared" si="3"/>
        <v>3328</v>
      </c>
      <c r="L5" s="10">
        <f t="shared" si="3"/>
        <v>3490</v>
      </c>
      <c r="M5" s="10">
        <f t="shared" si="3"/>
        <v>3878</v>
      </c>
      <c r="N5" s="10">
        <f t="shared" si="3"/>
        <v>4122</v>
      </c>
      <c r="O5" s="10">
        <f t="shared" si="3"/>
        <v>3525</v>
      </c>
      <c r="P5" s="10">
        <f t="shared" si="3"/>
        <v>3759</v>
      </c>
      <c r="Q5" s="10">
        <f t="shared" si="3"/>
        <v>4254</v>
      </c>
      <c r="R5" s="10">
        <f t="shared" si="3"/>
        <v>4269</v>
      </c>
      <c r="S5" s="10">
        <f t="shared" si="3"/>
        <v>1929</v>
      </c>
      <c r="T5" s="10">
        <f t="shared" si="3"/>
        <v>2583</v>
      </c>
      <c r="U5" s="10">
        <f t="shared" si="3"/>
        <v>3660</v>
      </c>
      <c r="V5" s="10">
        <f>V3*0.53</f>
        <v>3348.01</v>
      </c>
      <c r="W5" s="10">
        <f>W3*0.59</f>
        <v>3020.5934999999999</v>
      </c>
      <c r="X5" s="10">
        <f>X3*0.55</f>
        <v>3381.9500000000003</v>
      </c>
      <c r="Y5" s="10">
        <f>Y3*0.59</f>
        <v>3927.748</v>
      </c>
      <c r="Z5" s="10">
        <f>Z3*0.53</f>
        <v>3749.7712000000006</v>
      </c>
      <c r="AB5" s="10">
        <f t="shared" ref="AB5:AG5" si="4">AB3-AB4</f>
        <v>13278</v>
      </c>
      <c r="AC5" s="10">
        <f t="shared" si="4"/>
        <v>14260</v>
      </c>
      <c r="AD5" s="10">
        <f t="shared" si="4"/>
        <v>14818</v>
      </c>
      <c r="AE5" s="10">
        <f t="shared" si="4"/>
        <v>15807</v>
      </c>
      <c r="AF5" s="10">
        <f t="shared" si="4"/>
        <v>11389</v>
      </c>
      <c r="AG5" s="10">
        <f t="shared" si="4"/>
        <v>14080.062700000002</v>
      </c>
      <c r="AH5" s="10">
        <f t="shared" ref="AH5:AP5" si="5">AH3*0.57</f>
        <v>15675.558030000002</v>
      </c>
      <c r="AI5" s="10">
        <f t="shared" si="5"/>
        <v>16929.602672400004</v>
      </c>
      <c r="AJ5" s="10">
        <f t="shared" si="5"/>
        <v>17776.082806020007</v>
      </c>
      <c r="AK5" s="10">
        <f t="shared" si="5"/>
        <v>18664.886946321007</v>
      </c>
      <c r="AL5" s="10">
        <f t="shared" si="5"/>
        <v>19411.48242417385</v>
      </c>
      <c r="AM5" s="10">
        <f t="shared" si="5"/>
        <v>19993.826896899063</v>
      </c>
      <c r="AN5" s="10">
        <f t="shared" si="5"/>
        <v>20593.641703806032</v>
      </c>
      <c r="AO5" s="10">
        <f t="shared" si="5"/>
        <v>21211.450954920216</v>
      </c>
      <c r="AP5" s="10">
        <f t="shared" si="5"/>
        <v>21847.794483567821</v>
      </c>
    </row>
    <row r="6" spans="2:143" x14ac:dyDescent="0.3">
      <c r="B6" t="s">
        <v>15</v>
      </c>
      <c r="C6" s="5">
        <v>1877</v>
      </c>
      <c r="D6" s="5">
        <v>1953</v>
      </c>
      <c r="E6" s="5">
        <v>2049</v>
      </c>
      <c r="F6" s="5">
        <v>2296</v>
      </c>
      <c r="G6" s="5">
        <v>2126</v>
      </c>
      <c r="H6" s="5">
        <v>2148</v>
      </c>
      <c r="I6" s="5">
        <v>2202</v>
      </c>
      <c r="J6" s="5">
        <v>2468</v>
      </c>
      <c r="K6" s="5">
        <v>2194</v>
      </c>
      <c r="L6" s="5">
        <v>2265</v>
      </c>
      <c r="M6" s="5">
        <v>2280</v>
      </c>
      <c r="N6" s="5">
        <v>2589</v>
      </c>
      <c r="O6" s="5">
        <v>1842</v>
      </c>
      <c r="P6" s="5">
        <v>1981</v>
      </c>
      <c r="Q6" s="5">
        <v>1988</v>
      </c>
      <c r="R6" s="5">
        <v>2365</v>
      </c>
      <c r="S6" s="5">
        <v>1448</v>
      </c>
      <c r="T6" s="5">
        <f>3020-S6</f>
        <v>1572</v>
      </c>
      <c r="U6" s="5">
        <f>3020-T6</f>
        <v>1448</v>
      </c>
      <c r="V6" s="11">
        <f>AF6-U6-T6-S6</f>
        <v>2339</v>
      </c>
      <c r="W6" s="5">
        <f>S6*1.2</f>
        <v>1737.6</v>
      </c>
      <c r="X6" s="5">
        <f>T6*1.15</f>
        <v>1807.8</v>
      </c>
      <c r="Y6" s="5">
        <f>U6*1.3</f>
        <v>1882.4</v>
      </c>
      <c r="Z6" s="5">
        <f>V6*1.02</f>
        <v>2385.7800000000002</v>
      </c>
      <c r="AB6" s="11">
        <f>SUM(C6:F6)</f>
        <v>8175</v>
      </c>
      <c r="AC6" s="11">
        <f>SUM(G6:J6)</f>
        <v>8944</v>
      </c>
      <c r="AD6" s="11">
        <f>SUM(K6:N6)</f>
        <v>9328</v>
      </c>
      <c r="AE6" s="11">
        <f>SUM(O6:R6)</f>
        <v>8176</v>
      </c>
      <c r="AF6" s="11">
        <v>6807</v>
      </c>
      <c r="AG6" s="11">
        <f>SUM(W6:Z6)</f>
        <v>7813.58</v>
      </c>
      <c r="AH6" s="5">
        <f>AG6*1.05</f>
        <v>8204.259</v>
      </c>
      <c r="AI6" s="5">
        <f>AH6*1.03</f>
        <v>8450.386770000001</v>
      </c>
      <c r="AJ6" s="5">
        <f t="shared" ref="AJ6:AK6" si="6">AI6*1.03</f>
        <v>8703.8983731000008</v>
      </c>
      <c r="AK6" s="5">
        <f t="shared" si="6"/>
        <v>8965.015324293001</v>
      </c>
      <c r="AL6" s="5">
        <f>AK6*1.02</f>
        <v>9144.3156307788613</v>
      </c>
      <c r="AM6" s="5">
        <f t="shared" ref="AM6:AP6" si="7">AL6*1.02</f>
        <v>9327.2019433944388</v>
      </c>
      <c r="AN6" s="5">
        <f t="shared" si="7"/>
        <v>9513.7459822623277</v>
      </c>
      <c r="AO6" s="5">
        <f t="shared" si="7"/>
        <v>9704.0209019075737</v>
      </c>
      <c r="AP6" s="5">
        <f t="shared" si="7"/>
        <v>9898.1013199457248</v>
      </c>
    </row>
    <row r="7" spans="2:143" x14ac:dyDescent="0.3">
      <c r="B7" t="s">
        <v>16</v>
      </c>
      <c r="C7" s="5">
        <v>2</v>
      </c>
      <c r="D7" s="5">
        <v>2</v>
      </c>
      <c r="E7" s="5">
        <v>2</v>
      </c>
      <c r="F7" s="5">
        <v>14</v>
      </c>
      <c r="G7" s="5">
        <v>1</v>
      </c>
      <c r="H7" s="5">
        <v>15</v>
      </c>
      <c r="I7" s="5">
        <v>7</v>
      </c>
      <c r="J7" s="5">
        <v>15</v>
      </c>
      <c r="K7" s="5">
        <v>9</v>
      </c>
      <c r="L7" s="5">
        <v>6</v>
      </c>
      <c r="M7" s="5">
        <v>8</v>
      </c>
      <c r="N7" s="5">
        <v>7</v>
      </c>
      <c r="O7" s="5">
        <v>8</v>
      </c>
      <c r="P7" s="5">
        <v>6</v>
      </c>
      <c r="Q7" s="5">
        <v>11</v>
      </c>
      <c r="R7" s="5">
        <v>8</v>
      </c>
      <c r="S7" s="5">
        <v>2</v>
      </c>
      <c r="T7" s="5">
        <f>6-S7</f>
        <v>4</v>
      </c>
      <c r="U7" s="5">
        <f>6-T7</f>
        <v>2</v>
      </c>
      <c r="V7" s="11">
        <f>AF7-U7-T7-S7</f>
        <v>23</v>
      </c>
      <c r="W7" s="5">
        <v>3</v>
      </c>
      <c r="X7" s="5">
        <v>3</v>
      </c>
      <c r="Y7" s="5">
        <v>3</v>
      </c>
      <c r="Z7" s="5">
        <v>20</v>
      </c>
      <c r="AB7" s="11">
        <f>SUM(C7:F7)</f>
        <v>20</v>
      </c>
      <c r="AC7" s="11">
        <f>SUM(G7:J7)</f>
        <v>38</v>
      </c>
      <c r="AD7" s="11">
        <f>SUM(K7:N7)</f>
        <v>30</v>
      </c>
      <c r="AE7" s="11">
        <f>SUM(O7:R7)</f>
        <v>33</v>
      </c>
      <c r="AF7" s="11">
        <v>31</v>
      </c>
      <c r="AG7" s="11">
        <f>SUM(W7:Z7)</f>
        <v>29</v>
      </c>
      <c r="AH7" s="5">
        <f t="shared" ref="AH7:AP7" si="8">25*1.01</f>
        <v>25.25</v>
      </c>
      <c r="AI7" s="5">
        <f t="shared" si="8"/>
        <v>25.25</v>
      </c>
      <c r="AJ7" s="5">
        <f t="shared" si="8"/>
        <v>25.25</v>
      </c>
      <c r="AK7" s="5">
        <f t="shared" si="8"/>
        <v>25.25</v>
      </c>
      <c r="AL7" s="5">
        <f t="shared" si="8"/>
        <v>25.25</v>
      </c>
      <c r="AM7" s="5">
        <f t="shared" si="8"/>
        <v>25.25</v>
      </c>
      <c r="AN7" s="5">
        <f t="shared" si="8"/>
        <v>25.25</v>
      </c>
      <c r="AO7" s="5">
        <f t="shared" si="8"/>
        <v>25.25</v>
      </c>
      <c r="AP7" s="5">
        <f t="shared" si="8"/>
        <v>25.25</v>
      </c>
    </row>
    <row r="8" spans="2:143" x14ac:dyDescent="0.3">
      <c r="B8" t="s">
        <v>18</v>
      </c>
      <c r="C8" s="5">
        <v>250</v>
      </c>
      <c r="D8" s="5">
        <v>256</v>
      </c>
      <c r="E8" s="5">
        <v>278</v>
      </c>
      <c r="F8" s="5">
        <v>278</v>
      </c>
      <c r="G8" s="5">
        <v>279</v>
      </c>
      <c r="H8" s="5">
        <v>269</v>
      </c>
      <c r="I8" s="5">
        <v>278</v>
      </c>
      <c r="J8" s="5">
        <v>137</v>
      </c>
      <c r="K8" s="5">
        <v>273</v>
      </c>
      <c r="L8" s="5">
        <v>286</v>
      </c>
      <c r="M8" s="5">
        <v>303</v>
      </c>
      <c r="N8" s="5">
        <v>239</v>
      </c>
      <c r="O8" s="5">
        <v>696</v>
      </c>
      <c r="P8" s="5">
        <v>712</v>
      </c>
      <c r="Q8" s="5">
        <v>747</v>
      </c>
      <c r="R8" s="5">
        <v>672</v>
      </c>
      <c r="S8" s="5">
        <v>992</v>
      </c>
      <c r="T8" s="5">
        <f>1684-S8</f>
        <v>692</v>
      </c>
      <c r="U8" s="5">
        <f>1684-T8</f>
        <v>992</v>
      </c>
      <c r="V8" s="11">
        <f>AF8-U8-T8-S8</f>
        <v>369</v>
      </c>
      <c r="W8" s="5">
        <v>750</v>
      </c>
      <c r="X8" s="5">
        <v>750</v>
      </c>
      <c r="Y8" s="5">
        <v>750</v>
      </c>
      <c r="Z8" s="5">
        <v>750</v>
      </c>
      <c r="AB8" s="11">
        <f>SUM(C8:F8)</f>
        <v>1062</v>
      </c>
      <c r="AC8" s="11">
        <f>SUM(G8:J8)</f>
        <v>963</v>
      </c>
      <c r="AD8" s="11">
        <f>SUM(K8:N8)</f>
        <v>1101</v>
      </c>
      <c r="AE8" s="11">
        <f>SUM(O8:R8)</f>
        <v>2827</v>
      </c>
      <c r="AF8" s="11">
        <v>3045</v>
      </c>
      <c r="AG8" s="11">
        <f>SUM(W8:Z8)</f>
        <v>3000</v>
      </c>
      <c r="AH8" s="5">
        <f t="shared" ref="AH8:AK8" si="9">AG8*1.05</f>
        <v>3150</v>
      </c>
      <c r="AI8" s="5">
        <f t="shared" si="9"/>
        <v>3307.5</v>
      </c>
      <c r="AJ8" s="5">
        <f t="shared" si="9"/>
        <v>3472.875</v>
      </c>
      <c r="AK8" s="5">
        <f t="shared" si="9"/>
        <v>3646.5187500000002</v>
      </c>
      <c r="AL8" s="5">
        <f>AK8*1.03</f>
        <v>3755.9143125000005</v>
      </c>
      <c r="AM8" s="5">
        <f t="shared" ref="AM8:AP8" si="10">AL8*1.03</f>
        <v>3868.5917418750005</v>
      </c>
      <c r="AN8" s="5">
        <f t="shared" si="10"/>
        <v>3984.6494941312508</v>
      </c>
      <c r="AO8" s="5">
        <f t="shared" si="10"/>
        <v>4104.1889789551888</v>
      </c>
      <c r="AP8" s="5">
        <f t="shared" si="10"/>
        <v>4227.3146483238443</v>
      </c>
    </row>
    <row r="9" spans="2:143" s="1" customFormat="1" x14ac:dyDescent="0.3">
      <c r="B9" s="1" t="s">
        <v>17</v>
      </c>
      <c r="C9" s="10">
        <f t="shared" ref="C9:Z9" si="11">C5-C6-C7-C8</f>
        <v>705</v>
      </c>
      <c r="D9" s="10">
        <f t="shared" si="11"/>
        <v>900</v>
      </c>
      <c r="E9" s="10">
        <f t="shared" si="11"/>
        <v>1217</v>
      </c>
      <c r="F9" s="10">
        <f t="shared" si="11"/>
        <v>1199</v>
      </c>
      <c r="G9" s="10">
        <f t="shared" si="11"/>
        <v>834</v>
      </c>
      <c r="H9" s="10">
        <f t="shared" si="11"/>
        <v>910</v>
      </c>
      <c r="I9" s="10">
        <f t="shared" si="11"/>
        <v>1250</v>
      </c>
      <c r="J9" s="10">
        <f t="shared" si="11"/>
        <v>1321</v>
      </c>
      <c r="K9" s="10">
        <f t="shared" si="11"/>
        <v>852</v>
      </c>
      <c r="L9" s="10">
        <f t="shared" si="11"/>
        <v>933</v>
      </c>
      <c r="M9" s="10">
        <f t="shared" si="11"/>
        <v>1287</v>
      </c>
      <c r="N9" s="10">
        <f t="shared" si="11"/>
        <v>1287</v>
      </c>
      <c r="O9" s="10">
        <f t="shared" si="11"/>
        <v>979</v>
      </c>
      <c r="P9" s="10">
        <f t="shared" si="11"/>
        <v>1060</v>
      </c>
      <c r="Q9" s="10">
        <f t="shared" si="11"/>
        <v>1508</v>
      </c>
      <c r="R9" s="10">
        <f t="shared" si="11"/>
        <v>1224</v>
      </c>
      <c r="S9" s="10">
        <f t="shared" si="11"/>
        <v>-513</v>
      </c>
      <c r="T9" s="10">
        <f t="shared" si="11"/>
        <v>315</v>
      </c>
      <c r="U9" s="10">
        <f t="shared" si="11"/>
        <v>1218</v>
      </c>
      <c r="V9" s="10">
        <f t="shared" si="11"/>
        <v>617.01000000000022</v>
      </c>
      <c r="W9" s="10">
        <f t="shared" si="11"/>
        <v>529.99350000000004</v>
      </c>
      <c r="X9" s="10">
        <f t="shared" si="11"/>
        <v>821.15000000000032</v>
      </c>
      <c r="Y9" s="10">
        <f t="shared" si="11"/>
        <v>1292.348</v>
      </c>
      <c r="Z9" s="10">
        <f t="shared" si="11"/>
        <v>593.99120000000039</v>
      </c>
      <c r="AB9" s="10">
        <f t="shared" ref="AB9:AF9" si="12">AB5-AB6-AB7-AB8</f>
        <v>4021</v>
      </c>
      <c r="AC9" s="10">
        <f t="shared" si="12"/>
        <v>4315</v>
      </c>
      <c r="AD9" s="10">
        <f t="shared" si="12"/>
        <v>4359</v>
      </c>
      <c r="AE9" s="10">
        <f t="shared" si="12"/>
        <v>4771</v>
      </c>
      <c r="AF9" s="10">
        <f t="shared" si="12"/>
        <v>1506</v>
      </c>
      <c r="AG9" s="10">
        <f t="shared" ref="AG9" si="13">AG5-AG6-AG7-AG8</f>
        <v>3237.4827000000023</v>
      </c>
      <c r="AH9" s="10">
        <f t="shared" ref="AH9" si="14">AH5-AH6-AH7-AH8</f>
        <v>4296.0490300000019</v>
      </c>
      <c r="AI9" s="10">
        <f t="shared" ref="AI9" si="15">AI5-AI6-AI7-AI8</f>
        <v>5146.465902400003</v>
      </c>
      <c r="AJ9" s="10">
        <f t="shared" ref="AJ9" si="16">AJ5-AJ6-AJ7-AJ8</f>
        <v>5574.0594329200067</v>
      </c>
      <c r="AK9" s="10">
        <f t="shared" ref="AK9" si="17">AK5-AK6-AK7-AK8</f>
        <v>6028.1028720280055</v>
      </c>
      <c r="AL9" s="10">
        <f t="shared" ref="AL9" si="18">AL5-AL6-AL7-AL8</f>
        <v>6486.0024808949875</v>
      </c>
      <c r="AM9" s="10">
        <f t="shared" ref="AM9" si="19">AM5-AM6-AM7-AM8</f>
        <v>6772.783211629624</v>
      </c>
      <c r="AN9" s="10">
        <f t="shared" ref="AN9" si="20">AN5-AN6-AN7-AN8</f>
        <v>7069.9962274124537</v>
      </c>
      <c r="AO9" s="10">
        <f t="shared" ref="AO9" si="21">AO5-AO6-AO7-AO8</f>
        <v>7377.9910740574533</v>
      </c>
      <c r="AP9" s="10">
        <f t="shared" ref="AP9" si="22">AP5-AP6-AP7-AP8</f>
        <v>7697.1285152982518</v>
      </c>
    </row>
    <row r="10" spans="2:143" x14ac:dyDescent="0.3">
      <c r="B10" t="s">
        <v>38</v>
      </c>
      <c r="C10" s="5">
        <v>-14</v>
      </c>
      <c r="D10" s="5">
        <v>-9</v>
      </c>
      <c r="E10" s="5">
        <f>-3-11</f>
        <v>-14</v>
      </c>
      <c r="F10" s="5">
        <f>-7-14</f>
        <v>-21</v>
      </c>
      <c r="G10" s="5">
        <f>2-11</f>
        <v>-9</v>
      </c>
      <c r="H10" s="5">
        <v>-9</v>
      </c>
      <c r="I10" s="5">
        <f>-1-11</f>
        <v>-12</v>
      </c>
      <c r="J10" s="5">
        <f>4-11</f>
        <v>-7</v>
      </c>
      <c r="K10" s="5">
        <f>-7-8</f>
        <v>-15</v>
      </c>
      <c r="L10" s="5">
        <f>-15-10</f>
        <v>-25</v>
      </c>
      <c r="M10" s="5">
        <f>9-13</f>
        <v>-4</v>
      </c>
      <c r="N10" s="5">
        <f>-4-24</f>
        <v>-28</v>
      </c>
      <c r="O10" s="5">
        <f>36-9</f>
        <v>27</v>
      </c>
      <c r="P10" s="5">
        <f>41-15</f>
        <v>26</v>
      </c>
      <c r="Q10" s="5">
        <f>34-12</f>
        <v>22</v>
      </c>
      <c r="R10" s="5">
        <f>41-25</f>
        <v>16</v>
      </c>
      <c r="S10" s="5">
        <f>35-4</f>
        <v>31</v>
      </c>
      <c r="T10" s="5">
        <f>76-11-S10</f>
        <v>34</v>
      </c>
      <c r="U10" s="5">
        <f>76-11-T10</f>
        <v>31</v>
      </c>
      <c r="V10" s="11">
        <f>AF10-U10-T10-S10</f>
        <v>10</v>
      </c>
      <c r="W10" s="5">
        <v>30</v>
      </c>
      <c r="X10" s="5">
        <v>30</v>
      </c>
      <c r="Y10" s="5">
        <v>30</v>
      </c>
      <c r="Z10" s="5">
        <v>10</v>
      </c>
      <c r="AB10" s="11">
        <f>SUM(C10:F10)</f>
        <v>-58</v>
      </c>
      <c r="AC10" s="11">
        <f>SUM(G10:J10)</f>
        <v>-37</v>
      </c>
      <c r="AD10" s="11">
        <f>SUM(K10:N10)</f>
        <v>-72</v>
      </c>
      <c r="AE10" s="11">
        <f>SUM(O10:R10)</f>
        <v>91</v>
      </c>
      <c r="AF10" s="11">
        <f>139-33</f>
        <v>106</v>
      </c>
      <c r="AG10" s="11">
        <f>SUM(W10:Z10)</f>
        <v>100</v>
      </c>
      <c r="AH10" s="5">
        <f t="shared" ref="AH10:AJ10" si="23">AG10*0.8</f>
        <v>80</v>
      </c>
      <c r="AI10" s="5">
        <f t="shared" si="23"/>
        <v>64</v>
      </c>
      <c r="AJ10" s="5">
        <f t="shared" si="23"/>
        <v>51.2</v>
      </c>
      <c r="AK10" s="5">
        <f>AJ10*0.8</f>
        <v>40.960000000000008</v>
      </c>
      <c r="AL10" s="5">
        <f>AK10*0.8</f>
        <v>32.768000000000008</v>
      </c>
      <c r="AM10" s="5">
        <f>AL13*0.01</f>
        <v>50.335228950980898</v>
      </c>
      <c r="AN10" s="5">
        <f t="shared" ref="AN10:AP10" si="24">AM13*0.01</f>
        <v>52.435094264893415</v>
      </c>
      <c r="AO10" s="5">
        <f t="shared" si="24"/>
        <v>54.736976838550973</v>
      </c>
      <c r="AP10" s="5">
        <f t="shared" si="24"/>
        <v>57.121381958307438</v>
      </c>
    </row>
    <row r="11" spans="2:143" s="1" customFormat="1" x14ac:dyDescent="0.3">
      <c r="B11" s="1" t="s">
        <v>39</v>
      </c>
      <c r="C11" s="10">
        <f t="shared" ref="C11:Z11" si="25">C9-C10</f>
        <v>719</v>
      </c>
      <c r="D11" s="10">
        <f t="shared" si="25"/>
        <v>909</v>
      </c>
      <c r="E11" s="10">
        <f t="shared" si="25"/>
        <v>1231</v>
      </c>
      <c r="F11" s="10">
        <f t="shared" si="25"/>
        <v>1220</v>
      </c>
      <c r="G11" s="10">
        <f t="shared" si="25"/>
        <v>843</v>
      </c>
      <c r="H11" s="10">
        <f t="shared" si="25"/>
        <v>919</v>
      </c>
      <c r="I11" s="10">
        <f t="shared" si="25"/>
        <v>1262</v>
      </c>
      <c r="J11" s="10">
        <f t="shared" si="25"/>
        <v>1328</v>
      </c>
      <c r="K11" s="10">
        <f t="shared" si="25"/>
        <v>867</v>
      </c>
      <c r="L11" s="10">
        <f t="shared" si="25"/>
        <v>958</v>
      </c>
      <c r="M11" s="10">
        <f t="shared" si="25"/>
        <v>1291</v>
      </c>
      <c r="N11" s="10">
        <f t="shared" si="25"/>
        <v>1315</v>
      </c>
      <c r="O11" s="10">
        <f t="shared" si="25"/>
        <v>952</v>
      </c>
      <c r="P11" s="10">
        <f t="shared" si="25"/>
        <v>1034</v>
      </c>
      <c r="Q11" s="10">
        <f t="shared" si="25"/>
        <v>1486</v>
      </c>
      <c r="R11" s="10">
        <f t="shared" si="25"/>
        <v>1208</v>
      </c>
      <c r="S11" s="10">
        <f t="shared" si="25"/>
        <v>-544</v>
      </c>
      <c r="T11" s="10">
        <f t="shared" si="25"/>
        <v>281</v>
      </c>
      <c r="U11" s="10">
        <f t="shared" si="25"/>
        <v>1187</v>
      </c>
      <c r="V11" s="10">
        <f t="shared" si="25"/>
        <v>607.01000000000022</v>
      </c>
      <c r="W11" s="10">
        <f t="shared" si="25"/>
        <v>499.99350000000004</v>
      </c>
      <c r="X11" s="10">
        <f t="shared" si="25"/>
        <v>791.15000000000032</v>
      </c>
      <c r="Y11" s="10">
        <f t="shared" si="25"/>
        <v>1262.348</v>
      </c>
      <c r="Z11" s="10">
        <f t="shared" si="25"/>
        <v>583.99120000000039</v>
      </c>
      <c r="AB11" s="10">
        <f t="shared" ref="AB11:AF11" si="26">AB9-AB10</f>
        <v>4079</v>
      </c>
      <c r="AC11" s="10">
        <f t="shared" si="26"/>
        <v>4352</v>
      </c>
      <c r="AD11" s="10">
        <f t="shared" si="26"/>
        <v>4431</v>
      </c>
      <c r="AE11" s="10">
        <f t="shared" si="26"/>
        <v>4680</v>
      </c>
      <c r="AF11" s="10">
        <f t="shared" si="26"/>
        <v>1400</v>
      </c>
      <c r="AG11" s="10">
        <f t="shared" ref="AG11" si="27">AG9-AG10</f>
        <v>3137.4827000000023</v>
      </c>
      <c r="AH11" s="10">
        <f t="shared" ref="AH11" si="28">AH9-AH10</f>
        <v>4216.0490300000019</v>
      </c>
      <c r="AI11" s="10">
        <f t="shared" ref="AI11" si="29">AI9-AI10</f>
        <v>5082.465902400003</v>
      </c>
      <c r="AJ11" s="10">
        <f t="shared" ref="AJ11" si="30">AJ9-AJ10</f>
        <v>5522.8594329200068</v>
      </c>
      <c r="AK11" s="10">
        <f t="shared" ref="AK11" si="31">AK9-AK10</f>
        <v>5987.1428720280055</v>
      </c>
      <c r="AL11" s="10">
        <f t="shared" ref="AL11" si="32">AL9-AL10</f>
        <v>6453.2344808949874</v>
      </c>
      <c r="AM11" s="10">
        <f t="shared" ref="AM11" si="33">AM9-AM10</f>
        <v>6722.4479826786428</v>
      </c>
      <c r="AN11" s="10">
        <f t="shared" ref="AN11" si="34">AN9-AN10</f>
        <v>7017.5611331475602</v>
      </c>
      <c r="AO11" s="10">
        <f t="shared" ref="AO11" si="35">AO9-AO10</f>
        <v>7323.2540972189026</v>
      </c>
      <c r="AP11" s="10">
        <f t="shared" ref="AP11" si="36">AP9-AP10</f>
        <v>7640.0071333399446</v>
      </c>
    </row>
    <row r="12" spans="2:143" x14ac:dyDescent="0.3">
      <c r="B12" t="s">
        <v>40</v>
      </c>
      <c r="C12" s="5">
        <v>163</v>
      </c>
      <c r="D12" s="5">
        <v>207</v>
      </c>
      <c r="E12" s="5">
        <v>280</v>
      </c>
      <c r="F12" s="5">
        <v>267</v>
      </c>
      <c r="G12" s="5">
        <v>190</v>
      </c>
      <c r="H12" s="5">
        <v>207</v>
      </c>
      <c r="I12" s="5">
        <v>284</v>
      </c>
      <c r="J12" s="5">
        <v>299</v>
      </c>
      <c r="K12" s="5">
        <v>197</v>
      </c>
      <c r="L12" s="5">
        <v>216</v>
      </c>
      <c r="M12" s="5">
        <v>259</v>
      </c>
      <c r="N12" s="5">
        <v>308</v>
      </c>
      <c r="O12" s="5">
        <v>216</v>
      </c>
      <c r="P12" s="5">
        <v>218</v>
      </c>
      <c r="Q12" s="5">
        <v>312</v>
      </c>
      <c r="R12" s="5">
        <v>287</v>
      </c>
      <c r="S12" s="5">
        <v>-130</v>
      </c>
      <c r="T12" s="5">
        <f>-65-S12</f>
        <v>65</v>
      </c>
      <c r="U12" s="5">
        <f>-65-T12</f>
        <v>-130</v>
      </c>
      <c r="V12" s="11">
        <f>AF12-U12-T12-S12</f>
        <v>490</v>
      </c>
      <c r="W12" s="5">
        <f>W11*0.22</f>
        <v>109.99857000000002</v>
      </c>
      <c r="X12" s="5">
        <f t="shared" ref="X12:Z12" si="37">X11*0.22</f>
        <v>174.05300000000008</v>
      </c>
      <c r="Y12" s="5">
        <f t="shared" si="37"/>
        <v>277.71656000000002</v>
      </c>
      <c r="Z12" s="5">
        <f t="shared" si="37"/>
        <v>128.47806400000007</v>
      </c>
      <c r="AB12" s="11">
        <f>SUM(C12:F12)</f>
        <v>917</v>
      </c>
      <c r="AC12" s="11">
        <f>SUM(G12:J12)</f>
        <v>980</v>
      </c>
      <c r="AD12" s="11">
        <f>SUM(K12:N12)</f>
        <v>980</v>
      </c>
      <c r="AE12" s="11">
        <f>SUM(O12:R12)</f>
        <v>1033</v>
      </c>
      <c r="AF12" s="11">
        <v>295</v>
      </c>
      <c r="AG12" s="11">
        <f>SUM(W12:Z12)</f>
        <v>690.24619400000029</v>
      </c>
      <c r="AH12" s="5">
        <f t="shared" ref="AH12:AP12" si="38">AH11*0.22</f>
        <v>927.5307866000004</v>
      </c>
      <c r="AI12" s="5">
        <f t="shared" si="38"/>
        <v>1118.1424985280007</v>
      </c>
      <c r="AJ12" s="5">
        <f t="shared" si="38"/>
        <v>1215.0290752424014</v>
      </c>
      <c r="AK12" s="5">
        <f t="shared" si="38"/>
        <v>1317.1714318461611</v>
      </c>
      <c r="AL12" s="5">
        <f t="shared" si="38"/>
        <v>1419.7115857968972</v>
      </c>
      <c r="AM12" s="5">
        <f t="shared" si="38"/>
        <v>1478.9385561893014</v>
      </c>
      <c r="AN12" s="5">
        <f t="shared" si="38"/>
        <v>1543.8634492924632</v>
      </c>
      <c r="AO12" s="5">
        <f t="shared" si="38"/>
        <v>1611.1159013881586</v>
      </c>
      <c r="AP12" s="5">
        <f t="shared" si="38"/>
        <v>1680.8015693347879</v>
      </c>
    </row>
    <row r="13" spans="2:143" s="1" customFormat="1" x14ac:dyDescent="0.3">
      <c r="B13" s="1" t="s">
        <v>41</v>
      </c>
      <c r="C13" s="10">
        <f t="shared" ref="C13:V13" si="39">C11-C12</f>
        <v>556</v>
      </c>
      <c r="D13" s="10">
        <f t="shared" si="39"/>
        <v>702</v>
      </c>
      <c r="E13" s="10">
        <f t="shared" si="39"/>
        <v>951</v>
      </c>
      <c r="F13" s="10">
        <f t="shared" si="39"/>
        <v>953</v>
      </c>
      <c r="G13" s="10">
        <f t="shared" si="39"/>
        <v>653</v>
      </c>
      <c r="H13" s="10">
        <f t="shared" si="39"/>
        <v>712</v>
      </c>
      <c r="I13" s="10">
        <f t="shared" si="39"/>
        <v>978</v>
      </c>
      <c r="J13" s="10">
        <f t="shared" si="39"/>
        <v>1029</v>
      </c>
      <c r="K13" s="10">
        <f t="shared" si="39"/>
        <v>670</v>
      </c>
      <c r="L13" s="10">
        <f t="shared" si="39"/>
        <v>742</v>
      </c>
      <c r="M13" s="10">
        <f t="shared" si="39"/>
        <v>1032</v>
      </c>
      <c r="N13" s="10">
        <f t="shared" si="39"/>
        <v>1007</v>
      </c>
      <c r="O13" s="10">
        <f t="shared" si="39"/>
        <v>736</v>
      </c>
      <c r="P13" s="10">
        <f t="shared" si="39"/>
        <v>816</v>
      </c>
      <c r="Q13" s="10">
        <f t="shared" si="39"/>
        <v>1174</v>
      </c>
      <c r="R13" s="10">
        <f t="shared" si="39"/>
        <v>921</v>
      </c>
      <c r="S13" s="10">
        <f t="shared" si="39"/>
        <v>-414</v>
      </c>
      <c r="T13" s="10">
        <f t="shared" si="39"/>
        <v>216</v>
      </c>
      <c r="U13" s="10">
        <f t="shared" si="39"/>
        <v>1317</v>
      </c>
      <c r="V13" s="10">
        <f t="shared" si="39"/>
        <v>117.01000000000022</v>
      </c>
      <c r="W13" s="10">
        <f t="shared" ref="W13:Z13" si="40">W11-W12</f>
        <v>389.99493000000001</v>
      </c>
      <c r="X13" s="10">
        <f t="shared" si="40"/>
        <v>617.09700000000021</v>
      </c>
      <c r="Y13" s="10">
        <f t="shared" si="40"/>
        <v>984.63143999999988</v>
      </c>
      <c r="Z13" s="10">
        <f t="shared" si="40"/>
        <v>455.51313600000032</v>
      </c>
      <c r="AB13" s="10">
        <f t="shared" ref="AB13:AF13" si="41">AB11-AB12</f>
        <v>3162</v>
      </c>
      <c r="AC13" s="10">
        <f t="shared" si="41"/>
        <v>3372</v>
      </c>
      <c r="AD13" s="10">
        <f t="shared" si="41"/>
        <v>3451</v>
      </c>
      <c r="AE13" s="10">
        <f t="shared" si="41"/>
        <v>3647</v>
      </c>
      <c r="AF13" s="10">
        <f t="shared" si="41"/>
        <v>1105</v>
      </c>
      <c r="AG13" s="10">
        <f t="shared" ref="AG13" si="42">AG11-AG12</f>
        <v>2447.236506000002</v>
      </c>
      <c r="AH13" s="10">
        <f t="shared" ref="AH13" si="43">AH11-AH12</f>
        <v>3288.5182434000017</v>
      </c>
      <c r="AI13" s="10">
        <f t="shared" ref="AI13" si="44">AI11-AI12</f>
        <v>3964.323403872002</v>
      </c>
      <c r="AJ13" s="10">
        <f t="shared" ref="AJ13" si="45">AJ11-AJ12</f>
        <v>4307.8303576776052</v>
      </c>
      <c r="AK13" s="10">
        <f t="shared" ref="AK13" si="46">AK11-AK12</f>
        <v>4669.9714401818446</v>
      </c>
      <c r="AL13" s="10">
        <f t="shared" ref="AL13" si="47">AL11-AL12</f>
        <v>5033.52289509809</v>
      </c>
      <c r="AM13" s="10">
        <f t="shared" ref="AM13" si="48">AM11-AM12</f>
        <v>5243.5094264893414</v>
      </c>
      <c r="AN13" s="10">
        <f t="shared" ref="AN13" si="49">AN11-AN12</f>
        <v>5473.6976838550972</v>
      </c>
      <c r="AO13" s="10">
        <f t="shared" ref="AO13" si="50">AO11-AO12</f>
        <v>5712.1381958307438</v>
      </c>
      <c r="AP13" s="10">
        <f t="shared" ref="AP13" si="51">AP11-AP12</f>
        <v>5959.2055640051567</v>
      </c>
      <c r="AQ13" s="1">
        <f>AP13*(1+$AS$19)</f>
        <v>5899.6135083651052</v>
      </c>
      <c r="AR13" s="1">
        <f t="shared" ref="AR13:DC13" si="52">AQ13*(1+$AS$19)</f>
        <v>5840.6173732814541</v>
      </c>
      <c r="AS13" s="1">
        <f t="shared" si="52"/>
        <v>5782.2111995486393</v>
      </c>
      <c r="AT13" s="1">
        <f t="shared" si="52"/>
        <v>5724.3890875531533</v>
      </c>
      <c r="AU13" s="1">
        <f t="shared" si="52"/>
        <v>5667.1451966776222</v>
      </c>
      <c r="AV13" s="1">
        <f t="shared" si="52"/>
        <v>5610.4737447108455</v>
      </c>
      <c r="AW13" s="1">
        <f t="shared" si="52"/>
        <v>5554.3690072637373</v>
      </c>
      <c r="AX13" s="1">
        <f t="shared" si="52"/>
        <v>5498.8253171911001</v>
      </c>
      <c r="AY13" s="1">
        <f t="shared" si="52"/>
        <v>5443.8370640191888</v>
      </c>
      <c r="AZ13" s="1">
        <f t="shared" si="52"/>
        <v>5389.3986933789965</v>
      </c>
      <c r="BA13" s="1">
        <f t="shared" si="52"/>
        <v>5335.5047064452065</v>
      </c>
      <c r="BB13" s="1">
        <f t="shared" si="52"/>
        <v>5282.1496593807542</v>
      </c>
      <c r="BC13" s="1">
        <f t="shared" si="52"/>
        <v>5229.3281627869465</v>
      </c>
      <c r="BD13" s="1">
        <f t="shared" si="52"/>
        <v>5177.0348811590766</v>
      </c>
      <c r="BE13" s="1">
        <f t="shared" si="52"/>
        <v>5125.2645323474853</v>
      </c>
      <c r="BF13" s="1">
        <f t="shared" si="52"/>
        <v>5074.0118870240103</v>
      </c>
      <c r="BG13" s="1">
        <f t="shared" si="52"/>
        <v>5023.2717681537706</v>
      </c>
      <c r="BH13" s="1">
        <f t="shared" si="52"/>
        <v>4973.0390504722327</v>
      </c>
      <c r="BI13" s="1">
        <f t="shared" si="52"/>
        <v>4923.3086599675107</v>
      </c>
      <c r="BJ13" s="1">
        <f t="shared" si="52"/>
        <v>4874.0755733678352</v>
      </c>
      <c r="BK13" s="1">
        <f t="shared" si="52"/>
        <v>4825.3348176341569</v>
      </c>
      <c r="BL13" s="1">
        <f t="shared" si="52"/>
        <v>4777.0814694578157</v>
      </c>
      <c r="BM13" s="1">
        <f t="shared" si="52"/>
        <v>4729.3106547632378</v>
      </c>
      <c r="BN13" s="1">
        <f t="shared" si="52"/>
        <v>4682.0175482156055</v>
      </c>
      <c r="BO13" s="1">
        <f t="shared" si="52"/>
        <v>4635.1973727334498</v>
      </c>
      <c r="BP13" s="1">
        <f t="shared" si="52"/>
        <v>4588.8453990061153</v>
      </c>
      <c r="BQ13" s="1">
        <f t="shared" si="52"/>
        <v>4542.9569450160543</v>
      </c>
      <c r="BR13" s="1">
        <f t="shared" si="52"/>
        <v>4497.5273755658936</v>
      </c>
      <c r="BS13" s="1">
        <f t="shared" si="52"/>
        <v>4452.5521018102345</v>
      </c>
      <c r="BT13" s="1">
        <f t="shared" si="52"/>
        <v>4408.0265807921323</v>
      </c>
      <c r="BU13" s="1">
        <f t="shared" si="52"/>
        <v>4363.9463149842113</v>
      </c>
      <c r="BV13" s="1">
        <f t="shared" si="52"/>
        <v>4320.3068518343689</v>
      </c>
      <c r="BW13" s="1">
        <f t="shared" si="52"/>
        <v>4277.1037833160253</v>
      </c>
      <c r="BX13" s="1">
        <f t="shared" si="52"/>
        <v>4234.332745482865</v>
      </c>
      <c r="BY13" s="1">
        <f t="shared" si="52"/>
        <v>4191.9894180280362</v>
      </c>
      <c r="BZ13" s="1">
        <f t="shared" si="52"/>
        <v>4150.0695238477556</v>
      </c>
      <c r="CA13" s="1">
        <f t="shared" si="52"/>
        <v>4108.5688286092782</v>
      </c>
      <c r="CB13" s="1">
        <f t="shared" si="52"/>
        <v>4067.4831403231851</v>
      </c>
      <c r="CC13" s="1">
        <f t="shared" si="52"/>
        <v>4026.8083089199531</v>
      </c>
      <c r="CD13" s="1">
        <f t="shared" si="52"/>
        <v>3986.5402258307536</v>
      </c>
      <c r="CE13" s="1">
        <f t="shared" si="52"/>
        <v>3946.6748235724458</v>
      </c>
      <c r="CF13" s="1">
        <f t="shared" si="52"/>
        <v>3907.2080753367213</v>
      </c>
      <c r="CG13" s="1">
        <f t="shared" si="52"/>
        <v>3868.1359945833542</v>
      </c>
      <c r="CH13" s="1">
        <f t="shared" si="52"/>
        <v>3829.4546346375205</v>
      </c>
      <c r="CI13" s="1">
        <f t="shared" si="52"/>
        <v>3791.1600882911453</v>
      </c>
      <c r="CJ13" s="1">
        <f t="shared" si="52"/>
        <v>3753.2484874082338</v>
      </c>
      <c r="CK13" s="1">
        <f t="shared" si="52"/>
        <v>3715.7160025341514</v>
      </c>
      <c r="CL13" s="1">
        <f t="shared" si="52"/>
        <v>3678.5588425088099</v>
      </c>
      <c r="CM13" s="1">
        <f t="shared" si="52"/>
        <v>3641.7732540837219</v>
      </c>
      <c r="CN13" s="1">
        <f t="shared" si="52"/>
        <v>3605.3555215428846</v>
      </c>
      <c r="CO13" s="1">
        <f t="shared" si="52"/>
        <v>3569.3019663274558</v>
      </c>
      <c r="CP13" s="1">
        <f t="shared" si="52"/>
        <v>3533.6089466641811</v>
      </c>
      <c r="CQ13" s="1">
        <f t="shared" si="52"/>
        <v>3498.2728571975395</v>
      </c>
      <c r="CR13" s="1">
        <f t="shared" si="52"/>
        <v>3463.2901286255642</v>
      </c>
      <c r="CS13" s="1">
        <f t="shared" si="52"/>
        <v>3428.6572273393085</v>
      </c>
      <c r="CT13" s="1">
        <f t="shared" si="52"/>
        <v>3394.3706550659153</v>
      </c>
      <c r="CU13" s="1">
        <f t="shared" si="52"/>
        <v>3360.4269485152563</v>
      </c>
      <c r="CV13" s="1">
        <f t="shared" si="52"/>
        <v>3326.8226790301037</v>
      </c>
      <c r="CW13" s="1">
        <f t="shared" si="52"/>
        <v>3293.5544522398027</v>
      </c>
      <c r="CX13" s="1">
        <f t="shared" si="52"/>
        <v>3260.6189077174045</v>
      </c>
      <c r="CY13" s="1">
        <f t="shared" si="52"/>
        <v>3228.0127186402306</v>
      </c>
      <c r="CZ13" s="1">
        <f t="shared" si="52"/>
        <v>3195.7325914538283</v>
      </c>
      <c r="DA13" s="1">
        <f t="shared" si="52"/>
        <v>3163.7752655392901</v>
      </c>
      <c r="DB13" s="1">
        <f t="shared" si="52"/>
        <v>3132.1375128838972</v>
      </c>
      <c r="DC13" s="1">
        <f t="shared" si="52"/>
        <v>3100.8161377550582</v>
      </c>
      <c r="DD13" s="1">
        <f t="shared" ref="DD13:EM13" si="53">DC13*(1+$AS$19)</f>
        <v>3069.8079763775077</v>
      </c>
      <c r="DE13" s="1">
        <f t="shared" si="53"/>
        <v>3039.1098966137324</v>
      </c>
      <c r="DF13" s="1">
        <f t="shared" si="53"/>
        <v>3008.7187976475952</v>
      </c>
      <c r="DG13" s="1">
        <f t="shared" si="53"/>
        <v>2978.6316096711193</v>
      </c>
      <c r="DH13" s="1">
        <f t="shared" si="53"/>
        <v>2948.8452935744081</v>
      </c>
      <c r="DI13" s="1">
        <f t="shared" si="53"/>
        <v>2919.3568406386639</v>
      </c>
      <c r="DJ13" s="1">
        <f t="shared" si="53"/>
        <v>2890.1632722322774</v>
      </c>
      <c r="DK13" s="1">
        <f t="shared" si="53"/>
        <v>2861.2616395099549</v>
      </c>
      <c r="DL13" s="1">
        <f t="shared" si="53"/>
        <v>2832.6490231148555</v>
      </c>
      <c r="DM13" s="1">
        <f t="shared" si="53"/>
        <v>2804.322532883707</v>
      </c>
      <c r="DN13" s="1">
        <f t="shared" si="53"/>
        <v>2776.2793075548698</v>
      </c>
      <c r="DO13" s="1">
        <f t="shared" si="53"/>
        <v>2748.5165144793209</v>
      </c>
      <c r="DP13" s="1">
        <f t="shared" si="53"/>
        <v>2721.0313493345275</v>
      </c>
      <c r="DQ13" s="1">
        <f t="shared" si="53"/>
        <v>2693.821035841182</v>
      </c>
      <c r="DR13" s="1">
        <f t="shared" si="53"/>
        <v>2666.8828254827704</v>
      </c>
      <c r="DS13" s="1">
        <f t="shared" si="53"/>
        <v>2640.2139972279429</v>
      </c>
      <c r="DT13" s="1">
        <f t="shared" si="53"/>
        <v>2613.8118572556632</v>
      </c>
      <c r="DU13" s="1">
        <f t="shared" si="53"/>
        <v>2587.6737386831064</v>
      </c>
      <c r="DV13" s="1">
        <f t="shared" si="53"/>
        <v>2561.7970012962755</v>
      </c>
      <c r="DW13" s="1">
        <f t="shared" si="53"/>
        <v>2536.1790312833127</v>
      </c>
      <c r="DX13" s="1">
        <f t="shared" si="53"/>
        <v>2510.8172409704794</v>
      </c>
      <c r="DY13" s="1">
        <f t="shared" si="53"/>
        <v>2485.7090685607745</v>
      </c>
      <c r="DZ13" s="1">
        <f t="shared" si="53"/>
        <v>2460.851977875167</v>
      </c>
      <c r="EA13" s="1">
        <f t="shared" si="53"/>
        <v>2436.2434580964155</v>
      </c>
      <c r="EB13" s="1">
        <f t="shared" si="53"/>
        <v>2411.8810235154515</v>
      </c>
      <c r="EC13" s="1">
        <f t="shared" si="53"/>
        <v>2387.7622132802971</v>
      </c>
      <c r="ED13" s="1">
        <f t="shared" si="53"/>
        <v>2363.8845911474941</v>
      </c>
      <c r="EE13" s="1">
        <f t="shared" si="53"/>
        <v>2340.245745236019</v>
      </c>
      <c r="EF13" s="1">
        <f t="shared" si="53"/>
        <v>2316.843287783659</v>
      </c>
      <c r="EG13" s="1">
        <f t="shared" si="53"/>
        <v>2293.6748549058225</v>
      </c>
      <c r="EH13" s="1">
        <f t="shared" si="53"/>
        <v>2270.7381063567641</v>
      </c>
      <c r="EI13" s="1">
        <f t="shared" si="53"/>
        <v>2248.0307252931966</v>
      </c>
      <c r="EJ13" s="1">
        <f t="shared" si="53"/>
        <v>2225.5504180402645</v>
      </c>
      <c r="EK13" s="1">
        <f t="shared" si="53"/>
        <v>2203.2949138598619</v>
      </c>
      <c r="EL13" s="1">
        <f t="shared" si="53"/>
        <v>2181.2619647212632</v>
      </c>
      <c r="EM13" s="1">
        <f t="shared" si="53"/>
        <v>2159.4493450740506</v>
      </c>
    </row>
    <row r="14" spans="2:143" x14ac:dyDescent="0.3">
      <c r="B14" t="s">
        <v>2</v>
      </c>
      <c r="C14" s="5">
        <v>3115</v>
      </c>
      <c r="D14" s="5">
        <v>3115</v>
      </c>
      <c r="E14" s="5">
        <v>3115</v>
      </c>
      <c r="F14" s="5">
        <v>3115</v>
      </c>
      <c r="G14" s="5">
        <v>3115</v>
      </c>
      <c r="H14" s="5">
        <v>3115</v>
      </c>
      <c r="I14" s="5">
        <v>3115</v>
      </c>
      <c r="J14" s="5">
        <v>3115</v>
      </c>
      <c r="K14" s="5">
        <v>3115</v>
      </c>
      <c r="L14" s="5">
        <v>3115</v>
      </c>
      <c r="M14" s="5">
        <v>3115</v>
      </c>
      <c r="N14" s="5">
        <v>3115</v>
      </c>
      <c r="O14" s="5">
        <v>3115</v>
      </c>
      <c r="P14" s="5">
        <v>3115</v>
      </c>
      <c r="Q14" s="5">
        <v>3115</v>
      </c>
      <c r="R14" s="5">
        <v>3115</v>
      </c>
      <c r="S14" s="5">
        <v>3115</v>
      </c>
      <c r="T14" s="5">
        <v>3115</v>
      </c>
      <c r="U14" s="5">
        <v>3115</v>
      </c>
      <c r="V14" s="5">
        <v>3115</v>
      </c>
      <c r="W14" s="5">
        <v>3115</v>
      </c>
      <c r="X14" s="5">
        <v>3115</v>
      </c>
      <c r="Y14" s="5">
        <v>3115</v>
      </c>
      <c r="Z14" s="5">
        <v>3115</v>
      </c>
      <c r="AB14" s="5">
        <v>3115</v>
      </c>
      <c r="AC14" s="5">
        <v>3115</v>
      </c>
      <c r="AD14" s="5">
        <v>3115</v>
      </c>
      <c r="AE14" s="5">
        <v>3115</v>
      </c>
      <c r="AF14" s="5">
        <v>3115</v>
      </c>
      <c r="AG14" s="5">
        <v>3115</v>
      </c>
      <c r="AH14" s="5">
        <v>3115</v>
      </c>
      <c r="AI14" s="5">
        <v>3115</v>
      </c>
      <c r="AJ14" s="5">
        <v>3115</v>
      </c>
      <c r="AK14" s="5">
        <v>3115</v>
      </c>
      <c r="AL14" s="5">
        <v>3115</v>
      </c>
      <c r="AM14" s="5">
        <v>3115</v>
      </c>
      <c r="AN14" s="5">
        <v>3115</v>
      </c>
      <c r="AO14" s="5">
        <v>3115</v>
      </c>
      <c r="AP14" s="5">
        <v>3115</v>
      </c>
    </row>
    <row r="15" spans="2:143" s="1" customFormat="1" x14ac:dyDescent="0.3">
      <c r="B15" s="1" t="s">
        <v>42</v>
      </c>
      <c r="C15" s="7">
        <f t="shared" ref="C15:V15" si="54">C13/C14</f>
        <v>0.17849117174959872</v>
      </c>
      <c r="D15" s="7">
        <f t="shared" si="54"/>
        <v>0.22536115569823434</v>
      </c>
      <c r="E15" s="7">
        <f t="shared" si="54"/>
        <v>0.30529695024077047</v>
      </c>
      <c r="F15" s="7">
        <f t="shared" si="54"/>
        <v>0.30593900481540931</v>
      </c>
      <c r="G15" s="7">
        <f t="shared" si="54"/>
        <v>0.20963081861958266</v>
      </c>
      <c r="H15" s="7">
        <f t="shared" si="54"/>
        <v>0.22857142857142856</v>
      </c>
      <c r="I15" s="7">
        <f t="shared" si="54"/>
        <v>0.31396468699839486</v>
      </c>
      <c r="J15" s="7">
        <f t="shared" si="54"/>
        <v>0.33033707865168538</v>
      </c>
      <c r="K15" s="7">
        <f t="shared" si="54"/>
        <v>0.21508828250401285</v>
      </c>
      <c r="L15" s="7">
        <f t="shared" si="54"/>
        <v>0.23820224719101124</v>
      </c>
      <c r="M15" s="7">
        <f t="shared" si="54"/>
        <v>0.33130016051364364</v>
      </c>
      <c r="N15" s="7">
        <f t="shared" si="54"/>
        <v>0.32327447833065809</v>
      </c>
      <c r="O15" s="7">
        <f t="shared" si="54"/>
        <v>0.23627608346709469</v>
      </c>
      <c r="P15" s="7">
        <f t="shared" si="54"/>
        <v>0.26195826645264847</v>
      </c>
      <c r="Q15" s="7">
        <f t="shared" si="54"/>
        <v>0.37688603531300163</v>
      </c>
      <c r="R15" s="7">
        <f t="shared" si="54"/>
        <v>0.29566613162118782</v>
      </c>
      <c r="S15" s="7">
        <f t="shared" si="54"/>
        <v>-0.13290529695024078</v>
      </c>
      <c r="T15" s="7">
        <f t="shared" si="54"/>
        <v>6.9341894060995182E-2</v>
      </c>
      <c r="U15" s="7">
        <f t="shared" si="54"/>
        <v>0.42279293739967899</v>
      </c>
      <c r="V15" s="7">
        <f t="shared" si="54"/>
        <v>3.7563402889245659E-2</v>
      </c>
      <c r="W15" s="7">
        <f t="shared" ref="W15:Z15" si="55">W13/W14</f>
        <v>0.12519901444622794</v>
      </c>
      <c r="X15" s="7">
        <f t="shared" si="55"/>
        <v>0.19810497592295351</v>
      </c>
      <c r="Y15" s="7">
        <f t="shared" si="55"/>
        <v>0.31609356019261636</v>
      </c>
      <c r="Z15" s="7">
        <f t="shared" si="55"/>
        <v>0.14623214638844312</v>
      </c>
      <c r="AB15" s="7">
        <f t="shared" ref="AB15:AF15" si="56">AB13/AB14</f>
        <v>1.0150882825040128</v>
      </c>
      <c r="AC15" s="7">
        <f t="shared" si="56"/>
        <v>1.0825040128410914</v>
      </c>
      <c r="AD15" s="7">
        <f t="shared" si="56"/>
        <v>1.1078651685393259</v>
      </c>
      <c r="AE15" s="7">
        <f t="shared" si="56"/>
        <v>1.1707865168539326</v>
      </c>
      <c r="AF15" s="7">
        <f t="shared" si="56"/>
        <v>0.3547351524879615</v>
      </c>
      <c r="AG15" s="7">
        <f t="shared" ref="AG15" si="57">AG13/AG14</f>
        <v>0.78562969695024143</v>
      </c>
      <c r="AH15" s="7">
        <f t="shared" ref="AH15" si="58">AH13/AH14</f>
        <v>1.0557040909791338</v>
      </c>
      <c r="AI15" s="7">
        <f t="shared" ref="AI15" si="59">AI13/AI14</f>
        <v>1.2726559884019268</v>
      </c>
      <c r="AJ15" s="7">
        <f t="shared" ref="AJ15" si="60">AJ13/AJ14</f>
        <v>1.3829310939574977</v>
      </c>
      <c r="AK15" s="7">
        <f t="shared" ref="AK15" si="61">AK13/AK14</f>
        <v>1.4991882633007527</v>
      </c>
      <c r="AL15" s="7">
        <f t="shared" ref="AL15" si="62">AL13/AL14</f>
        <v>1.6158982006735441</v>
      </c>
      <c r="AM15" s="7">
        <f t="shared" ref="AM15" si="63">AM13/AM14</f>
        <v>1.6833096072196922</v>
      </c>
      <c r="AN15" s="7">
        <f t="shared" ref="AN15" si="64">AN13/AN14</f>
        <v>1.7572063190546059</v>
      </c>
      <c r="AO15" s="7">
        <f t="shared" ref="AO15" si="65">AO13/AO14</f>
        <v>1.8337522298012019</v>
      </c>
      <c r="AP15" s="7">
        <f t="shared" ref="AP15" si="66">AP13/AP14</f>
        <v>1.9130675967913826</v>
      </c>
    </row>
    <row r="17" spans="2:45" x14ac:dyDescent="0.3">
      <c r="B17" s="1" t="s">
        <v>43</v>
      </c>
      <c r="G17" s="9">
        <f>G3/C3-1</f>
        <v>0.14142242262758753</v>
      </c>
      <c r="H17" s="9">
        <f t="shared" ref="H17:V17" si="67">H3/D3-1</f>
        <v>9.2373791621911838E-2</v>
      </c>
      <c r="I17" s="9">
        <f t="shared" si="67"/>
        <v>5.9626073774633692E-2</v>
      </c>
      <c r="J17" s="9">
        <f t="shared" si="67"/>
        <v>6.7313259988419194E-2</v>
      </c>
      <c r="K17" s="9">
        <f t="shared" si="67"/>
        <v>1.5263063386604436E-2</v>
      </c>
      <c r="L17" s="9">
        <f t="shared" si="67"/>
        <v>4.4247787610619538E-2</v>
      </c>
      <c r="M17" s="9">
        <f t="shared" si="67"/>
        <v>1.923382610077895E-2</v>
      </c>
      <c r="N17" s="9">
        <f t="shared" si="67"/>
        <v>4.5436050454360499E-2</v>
      </c>
      <c r="O17" s="9">
        <f t="shared" si="67"/>
        <v>4.8284400424478235E-2</v>
      </c>
      <c r="P17" s="9">
        <f t="shared" si="67"/>
        <v>8.1763967357187717E-2</v>
      </c>
      <c r="Q17" s="9">
        <f t="shared" si="67"/>
        <v>9.1703056768559055E-2</v>
      </c>
      <c r="R17" s="9">
        <f t="shared" si="67"/>
        <v>9.8339387649195587E-2</v>
      </c>
      <c r="S17" s="9">
        <f t="shared" si="67"/>
        <v>-0.44271975704403577</v>
      </c>
      <c r="T17" s="9">
        <f t="shared" si="67"/>
        <v>-0.31379660525170461</v>
      </c>
      <c r="U17" s="9">
        <f t="shared" si="67"/>
        <v>-0.13542857142857145</v>
      </c>
      <c r="V17" s="9">
        <f t="shared" si="67"/>
        <v>-0.25383888495157103</v>
      </c>
      <c r="W17" s="9">
        <f t="shared" ref="W17" si="68">W3/S3-1</f>
        <v>0.55000000000000027</v>
      </c>
      <c r="X17" s="9">
        <f t="shared" ref="X17" si="69">X3/T3-1</f>
        <v>0.30000000000000004</v>
      </c>
      <c r="Y17" s="9">
        <f t="shared" ref="Y17" si="70">Y3/U3-1</f>
        <v>0.10000000000000009</v>
      </c>
      <c r="Z17" s="9">
        <f t="shared" ref="Z17" si="71">Z3/V3-1</f>
        <v>0.12000000000000011</v>
      </c>
      <c r="AC17" s="9">
        <f>AC3/AB3-1</f>
        <v>8.687258687258681E-2</v>
      </c>
      <c r="AD17" s="9">
        <f t="shared" ref="AD17:AP17" si="72">AD3/AC3-1</f>
        <v>3.2011051904480059E-2</v>
      </c>
      <c r="AE17" s="9">
        <f t="shared" si="72"/>
        <v>8.1848083836915775E-2</v>
      </c>
      <c r="AF17" s="9">
        <f t="shared" si="72"/>
        <v>-0.27872445732871387</v>
      </c>
      <c r="AG17" s="9">
        <f t="shared" si="72"/>
        <v>0.22541368493284986</v>
      </c>
      <c r="AH17" s="9">
        <f t="shared" si="72"/>
        <v>0.10000000000000009</v>
      </c>
      <c r="AI17" s="9">
        <f t="shared" si="72"/>
        <v>8.0000000000000071E-2</v>
      </c>
      <c r="AJ17" s="9">
        <f t="shared" si="72"/>
        <v>5.0000000000000044E-2</v>
      </c>
      <c r="AK17" s="9">
        <f t="shared" si="72"/>
        <v>5.0000000000000044E-2</v>
      </c>
      <c r="AL17" s="9">
        <f t="shared" si="72"/>
        <v>4.0000000000000036E-2</v>
      </c>
      <c r="AM17" s="9">
        <f t="shared" si="72"/>
        <v>3.0000000000000027E-2</v>
      </c>
      <c r="AN17" s="9">
        <f t="shared" si="72"/>
        <v>3.0000000000000027E-2</v>
      </c>
      <c r="AO17" s="9">
        <f t="shared" si="72"/>
        <v>3.0000000000000027E-2</v>
      </c>
      <c r="AP17" s="9">
        <f t="shared" si="72"/>
        <v>3.0000000000000027E-2</v>
      </c>
    </row>
    <row r="18" spans="2:45" x14ac:dyDescent="0.3">
      <c r="B18" s="1" t="s">
        <v>44</v>
      </c>
      <c r="C18" s="9">
        <f>C5/C3</f>
        <v>0.58085673293707729</v>
      </c>
      <c r="D18" s="9">
        <f t="shared" ref="D18:V18" si="73">D5/D3</f>
        <v>0.5569280343716434</v>
      </c>
      <c r="E18" s="9">
        <f t="shared" si="73"/>
        <v>0.59727134916624558</v>
      </c>
      <c r="F18" s="9">
        <f t="shared" si="73"/>
        <v>0.54820497973364213</v>
      </c>
      <c r="G18" s="9">
        <f t="shared" si="73"/>
        <v>0.58179206320703891</v>
      </c>
      <c r="H18" s="9">
        <f t="shared" si="73"/>
        <v>0.54768928220255653</v>
      </c>
      <c r="I18" s="9">
        <f t="shared" si="73"/>
        <v>0.59402320775711337</v>
      </c>
      <c r="J18" s="9">
        <f t="shared" si="73"/>
        <v>0.53451783534517838</v>
      </c>
      <c r="K18" s="9">
        <f t="shared" si="73"/>
        <v>0.58860983374602049</v>
      </c>
      <c r="L18" s="9">
        <f t="shared" si="73"/>
        <v>0.54770872567482742</v>
      </c>
      <c r="M18" s="9">
        <f t="shared" si="73"/>
        <v>0.60480349344978168</v>
      </c>
      <c r="N18" s="9">
        <f t="shared" si="73"/>
        <v>0.5347690710949663</v>
      </c>
      <c r="O18" s="9">
        <f t="shared" si="73"/>
        <v>0.59473595410831792</v>
      </c>
      <c r="P18" s="9">
        <f t="shared" si="73"/>
        <v>0.54533584796170032</v>
      </c>
      <c r="Q18" s="9">
        <f t="shared" si="73"/>
        <v>0.60771428571428576</v>
      </c>
      <c r="R18" s="9">
        <f t="shared" si="73"/>
        <v>0.50425230333097093</v>
      </c>
      <c r="S18" s="9">
        <f t="shared" si="73"/>
        <v>0.58401453224341504</v>
      </c>
      <c r="T18" s="9">
        <f t="shared" si="73"/>
        <v>0.54608879492600426</v>
      </c>
      <c r="U18" s="9">
        <f t="shared" si="73"/>
        <v>0.60475875743555851</v>
      </c>
      <c r="V18" s="9">
        <f t="shared" si="73"/>
        <v>0.53</v>
      </c>
      <c r="W18" s="9">
        <f t="shared" ref="W18:Z18" si="74">W5/W3</f>
        <v>0.59</v>
      </c>
      <c r="X18" s="9">
        <f t="shared" si="74"/>
        <v>0.55000000000000004</v>
      </c>
      <c r="Y18" s="9">
        <f t="shared" si="74"/>
        <v>0.59</v>
      </c>
      <c r="Z18" s="9">
        <f t="shared" si="74"/>
        <v>0.53</v>
      </c>
      <c r="AB18" s="9">
        <f t="shared" ref="AB18:AP18" si="75">AB5/AB3</f>
        <v>0.56962676962676961</v>
      </c>
      <c r="AC18" s="9">
        <f t="shared" si="75"/>
        <v>0.56285770672982038</v>
      </c>
      <c r="AD18" s="9">
        <f t="shared" si="75"/>
        <v>0.56674061041841961</v>
      </c>
      <c r="AE18" s="9">
        <f t="shared" si="75"/>
        <v>0.55882768860920595</v>
      </c>
      <c r="AF18" s="9">
        <f t="shared" si="75"/>
        <v>0.55822958533477107</v>
      </c>
      <c r="AG18" s="9">
        <f t="shared" si="75"/>
        <v>0.56318245870447015</v>
      </c>
      <c r="AH18" s="9">
        <f t="shared" si="75"/>
        <v>0.56999999999999995</v>
      </c>
      <c r="AI18" s="9">
        <f t="shared" si="75"/>
        <v>0.56999999999999995</v>
      </c>
      <c r="AJ18" s="9">
        <f t="shared" si="75"/>
        <v>0.57000000000000006</v>
      </c>
      <c r="AK18" s="9">
        <f t="shared" si="75"/>
        <v>0.56999999999999995</v>
      </c>
      <c r="AL18" s="9">
        <f t="shared" si="75"/>
        <v>0.56999999999999995</v>
      </c>
      <c r="AM18" s="9">
        <f t="shared" si="75"/>
        <v>0.56999999999999995</v>
      </c>
      <c r="AN18" s="9">
        <f t="shared" si="75"/>
        <v>0.56999999999999995</v>
      </c>
      <c r="AO18" s="9">
        <f t="shared" si="75"/>
        <v>0.56999999999999995</v>
      </c>
      <c r="AP18" s="9">
        <f t="shared" si="75"/>
        <v>0.56999999999999995</v>
      </c>
    </row>
    <row r="19" spans="2:45" x14ac:dyDescent="0.3">
      <c r="B19" s="8" t="s">
        <v>45</v>
      </c>
      <c r="C19" s="9">
        <f>C9/C3</f>
        <v>0.14449682311949169</v>
      </c>
      <c r="D19" s="9">
        <f t="shared" ref="D19:V19" si="76">D9/D3</f>
        <v>0.1611170784103115</v>
      </c>
      <c r="E19" s="9">
        <f t="shared" si="76"/>
        <v>0.20498568300488462</v>
      </c>
      <c r="F19" s="9">
        <f t="shared" si="76"/>
        <v>0.17356687898089171</v>
      </c>
      <c r="G19" s="9">
        <f t="shared" si="76"/>
        <v>0.1497575866403304</v>
      </c>
      <c r="H19" s="9">
        <f t="shared" si="76"/>
        <v>0.14913143231727302</v>
      </c>
      <c r="I19" s="9">
        <f t="shared" si="76"/>
        <v>0.19869655062788111</v>
      </c>
      <c r="J19" s="9">
        <f t="shared" si="76"/>
        <v>0.17916723179167232</v>
      </c>
      <c r="K19" s="9">
        <f t="shared" si="76"/>
        <v>0.15068977714892112</v>
      </c>
      <c r="L19" s="9">
        <f t="shared" si="76"/>
        <v>0.14642184557438795</v>
      </c>
      <c r="M19" s="9">
        <f t="shared" si="76"/>
        <v>0.20071740486587647</v>
      </c>
      <c r="N19" s="9">
        <f t="shared" si="76"/>
        <v>0.16696938245978205</v>
      </c>
      <c r="O19" s="9">
        <f t="shared" si="76"/>
        <v>0.16517631179348743</v>
      </c>
      <c r="P19" s="9">
        <f t="shared" si="76"/>
        <v>0.15377919628608733</v>
      </c>
      <c r="Q19" s="9">
        <f t="shared" si="76"/>
        <v>0.21542857142857144</v>
      </c>
      <c r="R19" s="9">
        <f t="shared" si="76"/>
        <v>0.14457831325301204</v>
      </c>
      <c r="S19" s="9">
        <f t="shared" si="76"/>
        <v>-0.15531335149863759</v>
      </c>
      <c r="T19" s="9">
        <f t="shared" si="76"/>
        <v>6.6596194503171252E-2</v>
      </c>
      <c r="U19" s="9">
        <f t="shared" si="76"/>
        <v>0.20125578321216128</v>
      </c>
      <c r="V19" s="9">
        <f t="shared" si="76"/>
        <v>9.7674529048599051E-2</v>
      </c>
      <c r="W19" s="9">
        <f t="shared" ref="W19:Z19" si="77">W9/W3</f>
        <v>0.10352143212914945</v>
      </c>
      <c r="X19" s="9">
        <f t="shared" si="77"/>
        <v>0.1335420393559929</v>
      </c>
      <c r="Y19" s="9">
        <f t="shared" si="77"/>
        <v>0.19412786156342002</v>
      </c>
      <c r="Z19" s="9">
        <f t="shared" si="77"/>
        <v>8.3955878694678798E-2</v>
      </c>
      <c r="AB19" s="9">
        <f t="shared" ref="AB19:AP19" si="78">AB9/AB3</f>
        <v>0.17250107250107249</v>
      </c>
      <c r="AC19" s="9">
        <f t="shared" si="78"/>
        <v>0.17031774225379909</v>
      </c>
      <c r="AD19" s="9">
        <f t="shared" si="78"/>
        <v>0.1667176623575308</v>
      </c>
      <c r="AE19" s="9">
        <f t="shared" si="78"/>
        <v>0.16867001343420773</v>
      </c>
      <c r="AF19" s="9">
        <f t="shared" si="78"/>
        <v>7.3816292520341137E-2</v>
      </c>
      <c r="AG19" s="9">
        <f t="shared" si="78"/>
        <v>0.12949469798875168</v>
      </c>
      <c r="AH19" s="9">
        <f t="shared" si="78"/>
        <v>0.15621440349450835</v>
      </c>
      <c r="AI19" s="9">
        <f t="shared" si="78"/>
        <v>0.17327551160727503</v>
      </c>
      <c r="AJ19" s="9">
        <f t="shared" si="78"/>
        <v>0.17873532157987113</v>
      </c>
      <c r="AK19" s="9">
        <f t="shared" si="78"/>
        <v>0.18408997852158054</v>
      </c>
      <c r="AL19" s="9">
        <f t="shared" si="78"/>
        <v>0.19045538786394298</v>
      </c>
      <c r="AM19" s="9">
        <f t="shared" si="78"/>
        <v>0.19308391787805398</v>
      </c>
      <c r="AN19" s="9">
        <f t="shared" si="78"/>
        <v>0.19568650885483305</v>
      </c>
      <c r="AO19" s="9">
        <f t="shared" si="78"/>
        <v>0.19826342484304449</v>
      </c>
      <c r="AP19" s="9">
        <f t="shared" si="78"/>
        <v>0.20081492697214037</v>
      </c>
      <c r="AR19" t="s">
        <v>47</v>
      </c>
      <c r="AS19" s="9">
        <v>-0.01</v>
      </c>
    </row>
    <row r="20" spans="2:45" x14ac:dyDescent="0.3">
      <c r="B20" s="8" t="s">
        <v>46</v>
      </c>
      <c r="G20" s="9">
        <f t="shared" ref="G20:V20" si="79">G6/C6-1</f>
        <v>0.13265849760255732</v>
      </c>
      <c r="H20" s="9">
        <f t="shared" si="79"/>
        <v>9.9846390168970789E-2</v>
      </c>
      <c r="I20" s="9">
        <f t="shared" si="79"/>
        <v>7.4670571010248876E-2</v>
      </c>
      <c r="J20" s="9">
        <f t="shared" si="79"/>
        <v>7.4912891986062657E-2</v>
      </c>
      <c r="K20" s="9">
        <f t="shared" si="79"/>
        <v>3.1984948259642598E-2</v>
      </c>
      <c r="L20" s="9">
        <f t="shared" si="79"/>
        <v>5.4469273743016799E-2</v>
      </c>
      <c r="M20" s="9">
        <f t="shared" si="79"/>
        <v>3.5422343324250649E-2</v>
      </c>
      <c r="N20" s="9">
        <f t="shared" si="79"/>
        <v>4.902755267423009E-2</v>
      </c>
      <c r="O20" s="9">
        <f t="shared" si="79"/>
        <v>-0.16043755697356432</v>
      </c>
      <c r="P20" s="9">
        <f t="shared" si="79"/>
        <v>-0.12538631346578366</v>
      </c>
      <c r="Q20" s="9">
        <f t="shared" si="79"/>
        <v>-0.12807017543859645</v>
      </c>
      <c r="R20" s="9">
        <f t="shared" si="79"/>
        <v>-8.65198918501352E-2</v>
      </c>
      <c r="S20" s="9">
        <f t="shared" si="79"/>
        <v>-0.21389793702497284</v>
      </c>
      <c r="T20" s="9">
        <f t="shared" si="79"/>
        <v>-0.20646138313982842</v>
      </c>
      <c r="U20" s="9">
        <f t="shared" si="79"/>
        <v>-0.2716297786720322</v>
      </c>
      <c r="V20" s="9">
        <f t="shared" si="79"/>
        <v>-1.0993657505285359E-2</v>
      </c>
      <c r="W20" s="9">
        <f t="shared" ref="W20" si="80">W6/S6-1</f>
        <v>0.19999999999999996</v>
      </c>
      <c r="X20" s="9">
        <f t="shared" ref="X20" si="81">X6/T6-1</f>
        <v>0.14999999999999991</v>
      </c>
      <c r="Y20" s="9">
        <f t="shared" ref="Y20" si="82">Y6/U6-1</f>
        <v>0.30000000000000004</v>
      </c>
      <c r="Z20" s="9">
        <f t="shared" ref="Z20" si="83">Z6/V6-1</f>
        <v>2.0000000000000018E-2</v>
      </c>
      <c r="AC20" s="9">
        <f t="shared" ref="AC20:AP20" si="84">AC6/AB6-1</f>
        <v>9.4067278287461864E-2</v>
      </c>
      <c r="AD20" s="9">
        <f t="shared" si="84"/>
        <v>4.29338103756709E-2</v>
      </c>
      <c r="AE20" s="9">
        <f t="shared" si="84"/>
        <v>-0.12349914236706694</v>
      </c>
      <c r="AF20" s="9">
        <f t="shared" si="84"/>
        <v>-0.16744129158512722</v>
      </c>
      <c r="AG20" s="9">
        <f t="shared" si="84"/>
        <v>0.147874247098575</v>
      </c>
      <c r="AH20" s="9">
        <f t="shared" si="84"/>
        <v>5.0000000000000044E-2</v>
      </c>
      <c r="AI20" s="9">
        <f t="shared" si="84"/>
        <v>3.0000000000000027E-2</v>
      </c>
      <c r="AJ20" s="9">
        <f t="shared" si="84"/>
        <v>3.0000000000000027E-2</v>
      </c>
      <c r="AK20" s="9">
        <f t="shared" si="84"/>
        <v>3.0000000000000027E-2</v>
      </c>
      <c r="AL20" s="9">
        <f t="shared" si="84"/>
        <v>2.0000000000000018E-2</v>
      </c>
      <c r="AM20" s="9">
        <f t="shared" si="84"/>
        <v>2.0000000000000018E-2</v>
      </c>
      <c r="AN20" s="9">
        <f t="shared" si="84"/>
        <v>2.0000000000000018E-2</v>
      </c>
      <c r="AO20" s="9">
        <f t="shared" si="84"/>
        <v>2.0000000000000018E-2</v>
      </c>
      <c r="AP20" s="9">
        <f t="shared" si="84"/>
        <v>2.0000000000000018E-2</v>
      </c>
      <c r="AR20" t="s">
        <v>48</v>
      </c>
      <c r="AS20" s="9">
        <v>0.06</v>
      </c>
    </row>
    <row r="21" spans="2:45" x14ac:dyDescent="0.3">
      <c r="B21" s="8" t="s">
        <v>40</v>
      </c>
      <c r="C21" s="9">
        <f>C12/C11</f>
        <v>0.2267037552155772</v>
      </c>
      <c r="D21" s="9">
        <f t="shared" ref="D21:AP21" si="85">D12/D11</f>
        <v>0.22772277227722773</v>
      </c>
      <c r="E21" s="9">
        <f t="shared" si="85"/>
        <v>0.22745735174654752</v>
      </c>
      <c r="F21" s="9">
        <f t="shared" si="85"/>
        <v>0.21885245901639344</v>
      </c>
      <c r="G21" s="9">
        <f t="shared" si="85"/>
        <v>0.22538552787663108</v>
      </c>
      <c r="H21" s="9">
        <f t="shared" si="85"/>
        <v>0.22524483133841131</v>
      </c>
      <c r="I21" s="9">
        <f t="shared" si="85"/>
        <v>0.22503961965134706</v>
      </c>
      <c r="J21" s="9">
        <f t="shared" si="85"/>
        <v>0.22515060240963855</v>
      </c>
      <c r="K21" s="9">
        <f t="shared" si="85"/>
        <v>0.22722029988465975</v>
      </c>
      <c r="L21" s="9">
        <f t="shared" si="85"/>
        <v>0.22546972860125261</v>
      </c>
      <c r="M21" s="9">
        <f t="shared" si="85"/>
        <v>0.20061967467079783</v>
      </c>
      <c r="N21" s="9">
        <f t="shared" si="85"/>
        <v>0.23422053231939163</v>
      </c>
      <c r="O21" s="9">
        <f t="shared" si="85"/>
        <v>0.22689075630252101</v>
      </c>
      <c r="P21" s="9">
        <f t="shared" si="85"/>
        <v>0.21083172147001933</v>
      </c>
      <c r="Q21" s="9">
        <f t="shared" si="85"/>
        <v>0.20995962314939434</v>
      </c>
      <c r="R21" s="9">
        <f t="shared" si="85"/>
        <v>0.23758278145695363</v>
      </c>
      <c r="S21" s="9">
        <f t="shared" si="85"/>
        <v>0.23897058823529413</v>
      </c>
      <c r="T21" s="9">
        <f t="shared" si="85"/>
        <v>0.23131672597864769</v>
      </c>
      <c r="U21" s="9">
        <f t="shared" si="85"/>
        <v>-0.10951979780960404</v>
      </c>
      <c r="V21" s="9">
        <f t="shared" si="85"/>
        <v>0.8072354656430698</v>
      </c>
      <c r="W21" s="9">
        <f t="shared" ref="W21:Z21" si="86">W12/W11</f>
        <v>0.22</v>
      </c>
      <c r="X21" s="9">
        <f t="shared" si="86"/>
        <v>0.22000000000000003</v>
      </c>
      <c r="Y21" s="9">
        <f t="shared" si="86"/>
        <v>0.22000000000000003</v>
      </c>
      <c r="Z21" s="9">
        <f t="shared" si="86"/>
        <v>0.21999999999999997</v>
      </c>
      <c r="AB21" s="9">
        <f t="shared" si="85"/>
        <v>0.22481000245158128</v>
      </c>
      <c r="AC21" s="9">
        <f t="shared" si="85"/>
        <v>0.22518382352941177</v>
      </c>
      <c r="AD21" s="9">
        <f t="shared" si="85"/>
        <v>0.22116903633491311</v>
      </c>
      <c r="AE21" s="9">
        <f t="shared" si="85"/>
        <v>0.22072649572649572</v>
      </c>
      <c r="AF21" s="9">
        <f t="shared" si="85"/>
        <v>0.21071428571428572</v>
      </c>
      <c r="AG21" s="9">
        <f t="shared" si="85"/>
        <v>0.21999999999999992</v>
      </c>
      <c r="AH21" s="9">
        <f t="shared" si="85"/>
        <v>0.22</v>
      </c>
      <c r="AI21" s="9">
        <f t="shared" si="85"/>
        <v>0.22</v>
      </c>
      <c r="AJ21" s="9">
        <f t="shared" si="85"/>
        <v>0.21999999999999997</v>
      </c>
      <c r="AK21" s="9">
        <f t="shared" si="85"/>
        <v>0.21999999999999997</v>
      </c>
      <c r="AL21" s="9">
        <f t="shared" si="85"/>
        <v>0.22</v>
      </c>
      <c r="AM21" s="9">
        <f t="shared" si="85"/>
        <v>0.22</v>
      </c>
      <c r="AN21" s="9">
        <f t="shared" si="85"/>
        <v>0.22</v>
      </c>
      <c r="AO21" s="9">
        <f t="shared" si="85"/>
        <v>0.22</v>
      </c>
      <c r="AP21" s="9">
        <f t="shared" si="85"/>
        <v>0.22</v>
      </c>
      <c r="AR21" t="s">
        <v>49</v>
      </c>
      <c r="AS21" s="5">
        <f>NPV(AS20,AF13:EM13)</f>
        <v>76192.091631891119</v>
      </c>
    </row>
    <row r="22" spans="2:45" x14ac:dyDescent="0.3">
      <c r="AR22" t="s">
        <v>53</v>
      </c>
      <c r="AS22" s="5">
        <f>Main!D8</f>
        <v>7821</v>
      </c>
    </row>
    <row r="23" spans="2:45" x14ac:dyDescent="0.3">
      <c r="AR23" t="s">
        <v>50</v>
      </c>
      <c r="AS23" s="5">
        <f>AS21+AS22</f>
        <v>84013.091631891119</v>
      </c>
    </row>
    <row r="24" spans="2:45" x14ac:dyDescent="0.3">
      <c r="AR24" t="s">
        <v>51</v>
      </c>
      <c r="AS24" s="4">
        <f>AS23/AP14</f>
        <v>26.970494905904051</v>
      </c>
    </row>
    <row r="25" spans="2:45" x14ac:dyDescent="0.3">
      <c r="AR25" t="s">
        <v>52</v>
      </c>
      <c r="AS25" s="4">
        <f>Main!D3</f>
        <v>31.81</v>
      </c>
    </row>
    <row r="26" spans="2:45" x14ac:dyDescent="0.3">
      <c r="AR26" s="1" t="s">
        <v>54</v>
      </c>
      <c r="AS26" s="12">
        <f>AS24/AS25-1</f>
        <v>-0.15213785269085034</v>
      </c>
    </row>
    <row r="27" spans="2:45" x14ac:dyDescent="0.3">
      <c r="AR27" t="s">
        <v>55</v>
      </c>
      <c r="AS27" s="6" t="s">
        <v>60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2021-01-06T18:27:24Z</dcterms:created>
  <dcterms:modified xsi:type="dcterms:W3CDTF">2021-05-20T13:56:50Z</dcterms:modified>
</cp:coreProperties>
</file>