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0BFD26FA-56BF-40E6-B157-7ACC6AAFB694}" xr6:coauthVersionLast="47" xr6:coauthVersionMax="47" xr10:uidLastSave="{00000000-0000-0000-0000-000000000000}"/>
  <bookViews>
    <workbookView xWindow="-108" yWindow="-108" windowWidth="23256" windowHeight="12576" xr2:uid="{A2797A18-9980-44DD-B47B-E8E4A0E68165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" i="2" l="1"/>
  <c r="U5" i="2"/>
  <c r="T5" i="2"/>
  <c r="L20" i="2"/>
  <c r="K20" i="2"/>
  <c r="L19" i="2"/>
  <c r="K19" i="2"/>
  <c r="L18" i="2"/>
  <c r="K18" i="2"/>
  <c r="L17" i="2"/>
  <c r="K17" i="2"/>
  <c r="L16" i="2"/>
  <c r="K16" i="2"/>
  <c r="L15" i="2"/>
  <c r="K15" i="2"/>
  <c r="AC5" i="2"/>
  <c r="AB5" i="2"/>
  <c r="AA5" i="2"/>
  <c r="Z5" i="2"/>
  <c r="Y5" i="2"/>
  <c r="X5" i="2"/>
  <c r="W5" i="2"/>
  <c r="W3" i="2"/>
  <c r="V3" i="2"/>
  <c r="U3" i="2"/>
  <c r="T10" i="2"/>
  <c r="T8" i="2"/>
  <c r="T6" i="2"/>
  <c r="T4" i="2"/>
  <c r="T3" i="2"/>
  <c r="L13" i="2"/>
  <c r="K13" i="2"/>
  <c r="L11" i="2"/>
  <c r="K11" i="2"/>
  <c r="L10" i="2"/>
  <c r="K10" i="2"/>
  <c r="L9" i="2"/>
  <c r="K9" i="2"/>
  <c r="L7" i="2"/>
  <c r="K7" i="2"/>
  <c r="L6" i="2"/>
  <c r="K6" i="2"/>
  <c r="L5" i="2"/>
  <c r="L4" i="2" s="1"/>
  <c r="K5" i="2"/>
  <c r="K4" i="2" s="1"/>
  <c r="J5" i="2"/>
  <c r="L3" i="2"/>
  <c r="K3" i="2"/>
  <c r="J10" i="2"/>
  <c r="J8" i="2"/>
  <c r="J6" i="2"/>
  <c r="J4" i="2"/>
  <c r="J3" i="2"/>
  <c r="S6" i="2"/>
  <c r="D7" i="1"/>
  <c r="AF23" i="2" l="1"/>
  <c r="U8" i="2"/>
  <c r="V8" i="2" s="1"/>
  <c r="W8" i="2" s="1"/>
  <c r="X8" i="2" s="1"/>
  <c r="Y8" i="2" s="1"/>
  <c r="Z8" i="2" s="1"/>
  <c r="AA8" i="2" s="1"/>
  <c r="AB8" i="2" s="1"/>
  <c r="AC8" i="2" s="1"/>
  <c r="R15" i="2"/>
  <c r="Q15" i="2"/>
  <c r="P15" i="2"/>
  <c r="O15" i="2"/>
  <c r="Q16" i="2"/>
  <c r="I15" i="2"/>
  <c r="G15" i="2"/>
  <c r="E15" i="2"/>
  <c r="R6" i="2"/>
  <c r="R5" i="2"/>
  <c r="R7" i="2" s="1"/>
  <c r="R9" i="2" s="1"/>
  <c r="R11" i="2" s="1"/>
  <c r="H10" i="2"/>
  <c r="H8" i="2"/>
  <c r="H4" i="2"/>
  <c r="H3" i="2"/>
  <c r="F10" i="2"/>
  <c r="F8" i="2"/>
  <c r="F4" i="2"/>
  <c r="F3" i="2"/>
  <c r="F5" i="2" s="1"/>
  <c r="F16" i="2" s="1"/>
  <c r="D10" i="2"/>
  <c r="D8" i="2"/>
  <c r="D4" i="2"/>
  <c r="D3" i="2"/>
  <c r="C6" i="2"/>
  <c r="C5" i="2"/>
  <c r="C16" i="2" s="1"/>
  <c r="E6" i="2"/>
  <c r="E18" i="2" s="1"/>
  <c r="E5" i="2"/>
  <c r="E16" i="2" s="1"/>
  <c r="N6" i="2"/>
  <c r="N5" i="2"/>
  <c r="N7" i="2" s="1"/>
  <c r="N9" i="2" s="1"/>
  <c r="N11" i="2" s="1"/>
  <c r="O6" i="2"/>
  <c r="O5" i="2"/>
  <c r="P6" i="2"/>
  <c r="P5" i="2"/>
  <c r="P16" i="2" s="1"/>
  <c r="Q6" i="2"/>
  <c r="Q18" i="2" s="1"/>
  <c r="Q5" i="2"/>
  <c r="G6" i="2"/>
  <c r="G5" i="2"/>
  <c r="G16" i="2" s="1"/>
  <c r="I6" i="2"/>
  <c r="I18" i="2" s="1"/>
  <c r="I5" i="2"/>
  <c r="D8" i="1"/>
  <c r="AF20" i="2" s="1"/>
  <c r="D5" i="1"/>
  <c r="F3" i="1"/>
  <c r="P18" i="2" l="1"/>
  <c r="I7" i="2"/>
  <c r="I9" i="2" s="1"/>
  <c r="I11" i="2" s="1"/>
  <c r="I13" i="2" s="1"/>
  <c r="O7" i="2"/>
  <c r="O9" i="2" s="1"/>
  <c r="D5" i="2"/>
  <c r="D16" i="2" s="1"/>
  <c r="D6" i="2"/>
  <c r="O18" i="2"/>
  <c r="I16" i="2"/>
  <c r="G18" i="2"/>
  <c r="R18" i="2"/>
  <c r="N19" i="2"/>
  <c r="J15" i="2"/>
  <c r="N16" i="2"/>
  <c r="F15" i="2"/>
  <c r="O16" i="2"/>
  <c r="R17" i="2"/>
  <c r="R13" i="2"/>
  <c r="R20" i="2"/>
  <c r="F6" i="2"/>
  <c r="H6" i="2"/>
  <c r="R16" i="2"/>
  <c r="N17" i="2"/>
  <c r="H15" i="2"/>
  <c r="O17" i="2"/>
  <c r="R19" i="2"/>
  <c r="N13" i="2"/>
  <c r="N20" i="2"/>
  <c r="D9" i="1"/>
  <c r="H5" i="2"/>
  <c r="F7" i="2"/>
  <c r="D7" i="2"/>
  <c r="C7" i="2"/>
  <c r="E7" i="2"/>
  <c r="P7" i="2"/>
  <c r="Q7" i="2"/>
  <c r="G7" i="2"/>
  <c r="I17" i="2" l="1"/>
  <c r="I19" i="2"/>
  <c r="I20" i="2"/>
  <c r="F18" i="2"/>
  <c r="O11" i="2"/>
  <c r="O19" i="2"/>
  <c r="E9" i="2"/>
  <c r="E17" i="2"/>
  <c r="H18" i="2"/>
  <c r="J7" i="2"/>
  <c r="S5" i="2"/>
  <c r="J16" i="2"/>
  <c r="G9" i="2"/>
  <c r="G17" i="2"/>
  <c r="S15" i="2"/>
  <c r="Q9" i="2"/>
  <c r="Q17" i="2"/>
  <c r="C9" i="2"/>
  <c r="C17" i="2"/>
  <c r="D9" i="2"/>
  <c r="D17" i="2"/>
  <c r="F9" i="2"/>
  <c r="F17" i="2"/>
  <c r="P9" i="2"/>
  <c r="P17" i="2"/>
  <c r="H7" i="2"/>
  <c r="H16" i="2"/>
  <c r="O20" i="2" l="1"/>
  <c r="O13" i="2"/>
  <c r="S16" i="2"/>
  <c r="H9" i="2"/>
  <c r="H17" i="2"/>
  <c r="J18" i="2"/>
  <c r="T15" i="2"/>
  <c r="D11" i="2"/>
  <c r="D19" i="2"/>
  <c r="C11" i="2"/>
  <c r="C19" i="2"/>
  <c r="Q11" i="2"/>
  <c r="Q19" i="2"/>
  <c r="F11" i="2"/>
  <c r="F19" i="2"/>
  <c r="G11" i="2"/>
  <c r="G19" i="2"/>
  <c r="J9" i="2"/>
  <c r="J17" i="2"/>
  <c r="P11" i="2"/>
  <c r="P19" i="2"/>
  <c r="E11" i="2"/>
  <c r="E19" i="2"/>
  <c r="E13" i="2" l="1"/>
  <c r="E20" i="2"/>
  <c r="F13" i="2"/>
  <c r="F20" i="2"/>
  <c r="T16" i="2"/>
  <c r="U4" i="2"/>
  <c r="U15" i="2"/>
  <c r="P13" i="2"/>
  <c r="P20" i="2"/>
  <c r="Q13" i="2"/>
  <c r="Q20" i="2"/>
  <c r="T7" i="2"/>
  <c r="S18" i="2"/>
  <c r="C13" i="2"/>
  <c r="C20" i="2"/>
  <c r="H11" i="2"/>
  <c r="H19" i="2"/>
  <c r="G13" i="2"/>
  <c r="G20" i="2"/>
  <c r="D13" i="2"/>
  <c r="D20" i="2"/>
  <c r="S7" i="2"/>
  <c r="T9" i="2" l="1"/>
  <c r="T17" i="2"/>
  <c r="V15" i="2"/>
  <c r="S17" i="2"/>
  <c r="S9" i="2"/>
  <c r="J19" i="2"/>
  <c r="J11" i="2"/>
  <c r="U6" i="2"/>
  <c r="U7" i="2" s="1"/>
  <c r="T18" i="2"/>
  <c r="H13" i="2"/>
  <c r="H20" i="2"/>
  <c r="U16" i="2"/>
  <c r="S19" i="2" l="1"/>
  <c r="V4" i="2"/>
  <c r="V16" i="2"/>
  <c r="S11" i="2"/>
  <c r="V6" i="2"/>
  <c r="U18" i="2"/>
  <c r="X3" i="2"/>
  <c r="W15" i="2"/>
  <c r="J20" i="2"/>
  <c r="J13" i="2"/>
  <c r="U17" i="2"/>
  <c r="U9" i="2"/>
  <c r="T19" i="2"/>
  <c r="T11" i="2" l="1"/>
  <c r="T20" i="2" s="1"/>
  <c r="W4" i="2"/>
  <c r="W16" i="2"/>
  <c r="Y3" i="2"/>
  <c r="X15" i="2"/>
  <c r="X4" i="2"/>
  <c r="U10" i="2"/>
  <c r="U19" i="2" s="1"/>
  <c r="W6" i="2"/>
  <c r="W7" i="2" s="1"/>
  <c r="V18" i="2"/>
  <c r="S13" i="2"/>
  <c r="S20" i="2"/>
  <c r="V7" i="2"/>
  <c r="T13" i="2" l="1"/>
  <c r="W17" i="2"/>
  <c r="W9" i="2"/>
  <c r="V9" i="2"/>
  <c r="V17" i="2"/>
  <c r="X16" i="2"/>
  <c r="Z3" i="2"/>
  <c r="Y15" i="2"/>
  <c r="Y4" i="2"/>
  <c r="X6" i="2"/>
  <c r="X7" i="2" s="1"/>
  <c r="W18" i="2"/>
  <c r="U11" i="2"/>
  <c r="AA3" i="2" l="1"/>
  <c r="Z4" i="2"/>
  <c r="Z15" i="2"/>
  <c r="X9" i="2"/>
  <c r="X17" i="2"/>
  <c r="U20" i="2"/>
  <c r="U13" i="2"/>
  <c r="Y6" i="2"/>
  <c r="Y7" i="2" s="1"/>
  <c r="X18" i="2"/>
  <c r="V10" i="2"/>
  <c r="V19" i="2" s="1"/>
  <c r="W10" i="2"/>
  <c r="W19" i="2" s="1"/>
  <c r="Y16" i="2"/>
  <c r="W11" i="2" l="1"/>
  <c r="W20" i="2" s="1"/>
  <c r="Y17" i="2"/>
  <c r="Y9" i="2"/>
  <c r="X10" i="2"/>
  <c r="X19" i="2" s="1"/>
  <c r="V11" i="2"/>
  <c r="Z16" i="2"/>
  <c r="Z6" i="2"/>
  <c r="Z7" i="2" s="1"/>
  <c r="Y18" i="2"/>
  <c r="AB3" i="2"/>
  <c r="AA15" i="2"/>
  <c r="W13" i="2" l="1"/>
  <c r="X11" i="2"/>
  <c r="X13" i="2" s="1"/>
  <c r="Z17" i="2"/>
  <c r="Z9" i="2"/>
  <c r="AA4" i="2"/>
  <c r="AA16" i="2"/>
  <c r="V20" i="2"/>
  <c r="V13" i="2"/>
  <c r="AC3" i="2"/>
  <c r="AB15" i="2"/>
  <c r="AA6" i="2"/>
  <c r="Z18" i="2"/>
  <c r="Y10" i="2"/>
  <c r="Y19" i="2" s="1"/>
  <c r="X20" i="2" l="1"/>
  <c r="Y11" i="2"/>
  <c r="Y13" i="2" s="1"/>
  <c r="AB6" i="2"/>
  <c r="AA18" i="2"/>
  <c r="AB4" i="2"/>
  <c r="AB7" i="2"/>
  <c r="AB16" i="2"/>
  <c r="AA7" i="2"/>
  <c r="AC15" i="2"/>
  <c r="Z10" i="2"/>
  <c r="Z19" i="2" s="1"/>
  <c r="Z11" i="2" l="1"/>
  <c r="Z13" i="2" s="1"/>
  <c r="Y20" i="2"/>
  <c r="AA17" i="2"/>
  <c r="AA9" i="2"/>
  <c r="AB17" i="2"/>
  <c r="AB9" i="2"/>
  <c r="AC6" i="2"/>
  <c r="AC18" i="2" s="1"/>
  <c r="AB18" i="2"/>
  <c r="AC4" i="2"/>
  <c r="AC16" i="2"/>
  <c r="Z20" i="2" l="1"/>
  <c r="AC7" i="2"/>
  <c r="AB10" i="2"/>
  <c r="AB19" i="2" s="1"/>
  <c r="AA10" i="2"/>
  <c r="AA19" i="2" s="1"/>
  <c r="AA11" i="2" l="1"/>
  <c r="AA13" i="2" s="1"/>
  <c r="AB11" i="2"/>
  <c r="AB13" i="2" s="1"/>
  <c r="AC17" i="2"/>
  <c r="AC9" i="2"/>
  <c r="AB20" i="2" l="1"/>
  <c r="AA20" i="2"/>
  <c r="AC10" i="2"/>
  <c r="AC19" i="2" s="1"/>
  <c r="AC11" i="2" l="1"/>
  <c r="AC20" i="2" s="1"/>
  <c r="AC13" i="2" l="1"/>
  <c r="AD11" i="2"/>
  <c r="AE11" i="2" s="1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BJ11" i="2" s="1"/>
  <c r="BK11" i="2" s="1"/>
  <c r="BL11" i="2" s="1"/>
  <c r="BM11" i="2" s="1"/>
  <c r="BN11" i="2" s="1"/>
  <c r="BO11" i="2" s="1"/>
  <c r="BP11" i="2" s="1"/>
  <c r="BQ11" i="2" s="1"/>
  <c r="BR11" i="2" s="1"/>
  <c r="BS11" i="2" s="1"/>
  <c r="BT11" i="2" s="1"/>
  <c r="BU11" i="2" s="1"/>
  <c r="BV11" i="2" s="1"/>
  <c r="BW11" i="2" s="1"/>
  <c r="BX11" i="2" s="1"/>
  <c r="BY11" i="2" s="1"/>
  <c r="BZ11" i="2" s="1"/>
  <c r="CA11" i="2" s="1"/>
  <c r="CB11" i="2" s="1"/>
  <c r="CC11" i="2" s="1"/>
  <c r="CD11" i="2" s="1"/>
  <c r="CE11" i="2" s="1"/>
  <c r="CF11" i="2" s="1"/>
  <c r="CG11" i="2" s="1"/>
  <c r="CH11" i="2" s="1"/>
  <c r="CI11" i="2" s="1"/>
  <c r="CJ11" i="2" s="1"/>
  <c r="CK11" i="2" s="1"/>
  <c r="CL11" i="2" s="1"/>
  <c r="CM11" i="2" s="1"/>
  <c r="CN11" i="2" s="1"/>
  <c r="CO11" i="2" s="1"/>
  <c r="CP11" i="2" s="1"/>
  <c r="CQ11" i="2" s="1"/>
  <c r="CR11" i="2" s="1"/>
  <c r="CS11" i="2" s="1"/>
  <c r="CT11" i="2" s="1"/>
  <c r="CU11" i="2" s="1"/>
  <c r="CV11" i="2" s="1"/>
  <c r="CW11" i="2" s="1"/>
  <c r="CX11" i="2" s="1"/>
  <c r="CY11" i="2" s="1"/>
  <c r="CZ11" i="2" s="1"/>
  <c r="DA11" i="2" s="1"/>
  <c r="DB11" i="2" s="1"/>
  <c r="DC11" i="2" s="1"/>
  <c r="DD11" i="2" s="1"/>
  <c r="DE11" i="2" s="1"/>
  <c r="DF11" i="2" s="1"/>
  <c r="DG11" i="2" s="1"/>
  <c r="DH11" i="2" s="1"/>
  <c r="DI11" i="2" s="1"/>
  <c r="DJ11" i="2" s="1"/>
  <c r="DK11" i="2" s="1"/>
  <c r="DL11" i="2" s="1"/>
  <c r="DM11" i="2" s="1"/>
  <c r="DN11" i="2" s="1"/>
  <c r="DO11" i="2" s="1"/>
  <c r="DP11" i="2" s="1"/>
  <c r="DQ11" i="2" s="1"/>
  <c r="DR11" i="2" s="1"/>
  <c r="DS11" i="2" s="1"/>
  <c r="DT11" i="2" s="1"/>
  <c r="DU11" i="2" s="1"/>
  <c r="DV11" i="2" s="1"/>
  <c r="DW11" i="2" s="1"/>
  <c r="DX11" i="2" s="1"/>
  <c r="DY11" i="2" s="1"/>
  <c r="DZ11" i="2" s="1"/>
  <c r="EA11" i="2" s="1"/>
  <c r="EB11" i="2" s="1"/>
  <c r="EC11" i="2" s="1"/>
  <c r="ED11" i="2" s="1"/>
  <c r="EE11" i="2" s="1"/>
  <c r="EF11" i="2" s="1"/>
  <c r="EG11" i="2" s="1"/>
  <c r="EH11" i="2" s="1"/>
  <c r="EI11" i="2" s="1"/>
  <c r="AF19" i="2" l="1"/>
  <c r="AF21" i="2" s="1"/>
  <c r="AF22" i="2" s="1"/>
  <c r="AF24" i="2" s="1"/>
</calcChain>
</file>

<file path=xl/sharedStrings.xml><?xml version="1.0" encoding="utf-8"?>
<sst xmlns="http://schemas.openxmlformats.org/spreadsheetml/2006/main" count="52" uniqueCount="47">
  <si>
    <t>JOUL</t>
  </si>
  <si>
    <t>Price</t>
  </si>
  <si>
    <t>Shares</t>
  </si>
  <si>
    <t>MC</t>
  </si>
  <si>
    <t>Cash</t>
  </si>
  <si>
    <t>Debt</t>
  </si>
  <si>
    <t>Net Cash</t>
  </si>
  <si>
    <t>EV</t>
  </si>
  <si>
    <t>Time last checked</t>
  </si>
  <si>
    <t>Today</t>
  </si>
  <si>
    <t>Earnings</t>
  </si>
  <si>
    <t>H220</t>
  </si>
  <si>
    <t>Revenue</t>
  </si>
  <si>
    <t>H118</t>
  </si>
  <si>
    <t>H218</t>
  </si>
  <si>
    <t>H119</t>
  </si>
  <si>
    <t>H219</t>
  </si>
  <si>
    <t>H120</t>
  </si>
  <si>
    <t>H121</t>
  </si>
  <si>
    <t>H221</t>
  </si>
  <si>
    <t>Cost of sales</t>
  </si>
  <si>
    <t>Gross profit</t>
  </si>
  <si>
    <t>Operating expenses</t>
  </si>
  <si>
    <t>Operating profit</t>
  </si>
  <si>
    <t>Finance costs</t>
  </si>
  <si>
    <t>Pretax profit</t>
  </si>
  <si>
    <t>Taxes</t>
  </si>
  <si>
    <t>Net profit</t>
  </si>
  <si>
    <t>EPS</t>
  </si>
  <si>
    <t>Revenue y/y</t>
  </si>
  <si>
    <t>Gross Margin</t>
  </si>
  <si>
    <t>Operating Margin</t>
  </si>
  <si>
    <t>Operating y/y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</si>
  <si>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</si>
  <si>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</si>
  <si>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</si>
  <si>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</si>
  <si>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</si>
  <si>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</si>
  <si>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</si>
  <si>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</si>
  <si>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</si>
  <si>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Net Margin</t>
  </si>
  <si>
    <t>H122</t>
  </si>
  <si>
    <t>H222</t>
  </si>
  <si>
    <t>Overvalued</t>
  </si>
  <si>
    <t>January?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</si>
</sst>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4" fontId="1" fillId="0" borderId="0" xfId="0" applyNumberFormat="1" applyFont="1"/>
    <xf numFmtId="3" fontId="1" fillId="0" borderId="0" xfId="0" applyNumberFormat="1" applyFont="1"/>
    <xf numFmtId="3" fontId="0" fillId="0" borderId="0" xfId="0" applyNumberFormat="1" applyFont="1"/>
    <xf numFmtId="0" fontId="0" fillId="0" borderId="0" xfId="0" applyFont="1"/>
    <xf numFmtId="9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</xdr:colOff>
      <xdr:row>0</xdr:row>
      <xdr:rowOff>0</xdr:rowOff>
    </xdr:from>
    <xdr:to>
      <xdr:col>10</xdr:col>
      <xdr:colOff>30480</xdr:colOff>
      <xdr:row>33</xdr:row>
      <xdr:rowOff>91440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67D3684-3FC5-4FFF-92A8-6BFE5754F723}"/>
            </a:ext>
          </a:extLst>
        </xdr:cNvPr>
        <xdr:cNvCxnSpPr/>
      </xdr:nvCxnSpPr>
      <xdr:spPr>
        <a:xfrm>
          <a:off x="7597140" y="0"/>
          <a:ext cx="0" cy="6126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0</xdr:row>
      <xdr:rowOff>0</xdr:rowOff>
    </xdr:from>
    <xdr:to>
      <xdr:col>19</xdr:col>
      <xdr:colOff>38100</xdr:colOff>
      <xdr:row>33</xdr:row>
      <xdr:rowOff>15240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8ACC494B-7DEE-4CFE-B78D-09727C1663BB}"/>
            </a:ext>
          </a:extLst>
        </xdr:cNvPr>
        <xdr:cNvCxnSpPr/>
      </xdr:nvCxnSpPr>
      <xdr:spPr>
        <a:xfrm>
          <a:off x="11871960" y="0"/>
          <a:ext cx="0" cy="60502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826CE-FB2F-4A06-A149-C2EAA527819F}">
  <dimension ref="B2:G9"/>
  <sheetViews>
    <sheetView tabSelected="1" workbookViewId="0">
      <selection activeCell="G4" sqref="G4"/>
    </sheetView>
  </sheetViews>
  <sheetFormatPr defaultRowHeight="14.4" x14ac:dyDescent="0.3"/>
  <cols>
    <col min="5" max="7" width="15.77734375" style="3" customWidth="1"/>
  </cols>
  <sheetData>
    <row r="2" spans="2:7" x14ac:dyDescent="0.3">
      <c r="E2" s="3" t="s">
        <v>8</v>
      </c>
      <c r="F2" s="3" t="s">
        <v>9</v>
      </c>
      <c r="G2" s="3" t="s">
        <v>10</v>
      </c>
    </row>
    <row r="3" spans="2:7" x14ac:dyDescent="0.3">
      <c r="B3" s="1" t="s">
        <v>0</v>
      </c>
      <c r="C3" t="s">
        <v>1</v>
      </c>
      <c r="D3" s="5">
        <v>2.65</v>
      </c>
      <c r="E3" s="4">
        <v>44420</v>
      </c>
      <c r="F3" s="4">
        <f ca="1">TODAY()</f>
        <v>44420</v>
      </c>
      <c r="G3" s="4" t="s">
        <v>46</v>
      </c>
    </row>
    <row r="4" spans="2:7" x14ac:dyDescent="0.3">
      <c r="C4" t="s">
        <v>2</v>
      </c>
      <c r="D4" s="6">
        <v>111.2</v>
      </c>
      <c r="E4" s="3" t="s">
        <v>19</v>
      </c>
    </row>
    <row r="5" spans="2:7" x14ac:dyDescent="0.3">
      <c r="C5" t="s">
        <v>3</v>
      </c>
      <c r="D5" s="6">
        <f>D3*D4</f>
        <v>294.68</v>
      </c>
    </row>
    <row r="6" spans="2:7" x14ac:dyDescent="0.3">
      <c r="C6" t="s">
        <v>4</v>
      </c>
      <c r="D6" s="6">
        <v>18</v>
      </c>
      <c r="E6" s="3" t="s">
        <v>19</v>
      </c>
    </row>
    <row r="7" spans="2:7" x14ac:dyDescent="0.3">
      <c r="C7" t="s">
        <v>5</v>
      </c>
      <c r="D7" s="6">
        <f>7.7+6.2</f>
        <v>13.9</v>
      </c>
      <c r="E7" s="3" t="s">
        <v>19</v>
      </c>
    </row>
    <row r="8" spans="2:7" x14ac:dyDescent="0.3">
      <c r="C8" t="s">
        <v>6</v>
      </c>
      <c r="D8" s="6">
        <f>D6-D7</f>
        <v>4.0999999999999996</v>
      </c>
    </row>
    <row r="9" spans="2:7" x14ac:dyDescent="0.3">
      <c r="C9" t="s">
        <v>7</v>
      </c>
      <c r="D9" s="6">
        <f>D5-D8</f>
        <v>290.58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1E149-A12A-48BB-AB52-24536468C217}">
  <dimension ref="B1:EI25"/>
  <sheetViews>
    <sheetView zoomScaleNormal="100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W5" sqref="W5"/>
    </sheetView>
  </sheetViews>
  <sheetFormatPr defaultRowHeight="14.4" x14ac:dyDescent="0.3"/>
  <cols>
    <col min="2" max="2" width="17" bestFit="1" customWidth="1"/>
    <col min="3" max="12" width="10.5546875" customWidth="1"/>
    <col min="31" max="31" width="11.88671875" bestFit="1" customWidth="1"/>
    <col min="32" max="32" width="17.33203125" bestFit="1" customWidth="1"/>
  </cols>
  <sheetData>
    <row r="1" spans="2:139" x14ac:dyDescent="0.3">
      <c r="C1" s="2">
        <v>43069</v>
      </c>
      <c r="D1" s="2">
        <v>43251</v>
      </c>
      <c r="E1" s="2">
        <v>43434</v>
      </c>
      <c r="F1" s="2">
        <v>43616</v>
      </c>
      <c r="G1" s="2">
        <v>43799</v>
      </c>
      <c r="H1" s="2">
        <v>43982</v>
      </c>
      <c r="I1" s="2">
        <v>44165</v>
      </c>
      <c r="J1" s="2">
        <v>44347</v>
      </c>
      <c r="K1" s="2">
        <v>44530</v>
      </c>
      <c r="L1" s="2">
        <v>44712</v>
      </c>
    </row>
    <row r="2" spans="2:139" x14ac:dyDescent="0.3"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11</v>
      </c>
      <c r="I2" s="7" t="s">
        <v>18</v>
      </c>
      <c r="J2" s="7" t="s">
        <v>19</v>
      </c>
      <c r="K2" s="7" t="s">
        <v>43</v>
      </c>
      <c r="L2" s="7" t="s">
        <v>44</v>
      </c>
      <c r="N2">
        <v>2016</v>
      </c>
      <c r="O2">
        <v>2017</v>
      </c>
      <c r="P2">
        <v>2018</v>
      </c>
      <c r="Q2">
        <v>2019</v>
      </c>
      <c r="R2">
        <v>2020</v>
      </c>
      <c r="S2">
        <v>2021</v>
      </c>
      <c r="T2">
        <v>2022</v>
      </c>
      <c r="U2">
        <v>2023</v>
      </c>
      <c r="V2">
        <v>2024</v>
      </c>
      <c r="W2">
        <v>2025</v>
      </c>
      <c r="X2">
        <v>2026</v>
      </c>
      <c r="Y2">
        <v>2027</v>
      </c>
      <c r="Z2">
        <v>2028</v>
      </c>
      <c r="AA2">
        <v>2029</v>
      </c>
      <c r="AB2">
        <v>2030</v>
      </c>
      <c r="AC2">
        <v>2031</v>
      </c>
    </row>
    <row r="3" spans="2:139" s="1" customFormat="1" x14ac:dyDescent="0.3">
      <c r="B3" s="1" t="s">
        <v>12</v>
      </c>
      <c r="C3" s="9">
        <v>96.2</v>
      </c>
      <c r="D3" s="9">
        <f>P3-C3</f>
        <v>89.7</v>
      </c>
      <c r="E3" s="9">
        <v>113.1</v>
      </c>
      <c r="F3" s="9">
        <f>Q3-E3</f>
        <v>104.9</v>
      </c>
      <c r="G3" s="9">
        <v>111.6</v>
      </c>
      <c r="H3" s="9">
        <f>R3-G3</f>
        <v>79.200000000000017</v>
      </c>
      <c r="I3" s="9">
        <v>94.5</v>
      </c>
      <c r="J3" s="9">
        <f>S3-I3</f>
        <v>104.5</v>
      </c>
      <c r="K3" s="9">
        <f>I3*1.2</f>
        <v>113.39999999999999</v>
      </c>
      <c r="L3" s="9">
        <f>J3*1.13</f>
        <v>118.08499999999999</v>
      </c>
      <c r="N3" s="9">
        <v>131.30000000000001</v>
      </c>
      <c r="O3" s="9">
        <v>157</v>
      </c>
      <c r="P3" s="9">
        <v>185.9</v>
      </c>
      <c r="Q3" s="9">
        <v>218</v>
      </c>
      <c r="R3" s="9">
        <v>190.8</v>
      </c>
      <c r="S3" s="9">
        <v>199</v>
      </c>
      <c r="T3" s="9">
        <f>SUM(K3:L3)</f>
        <v>231.48499999999999</v>
      </c>
      <c r="U3" s="9">
        <f>T3*1.13</f>
        <v>261.57804999999996</v>
      </c>
      <c r="V3" s="9">
        <f>U3*1.1</f>
        <v>287.73585499999996</v>
      </c>
      <c r="W3" s="9">
        <f>V3*1.09</f>
        <v>313.63208194999999</v>
      </c>
      <c r="X3" s="9">
        <f>W3*1.08</f>
        <v>338.72264850599998</v>
      </c>
      <c r="Y3" s="9">
        <f>X3*1.06</f>
        <v>359.04600741636</v>
      </c>
      <c r="Z3" s="9">
        <f>Y3*1.05</f>
        <v>376.99830778717802</v>
      </c>
      <c r="AA3" s="9">
        <f>Z3*1.04</f>
        <v>392.07824009866516</v>
      </c>
      <c r="AB3" s="9">
        <f t="shared" ref="AB3:AC3" si="0">AA3*1.03</f>
        <v>403.84058730162513</v>
      </c>
      <c r="AC3" s="9">
        <f t="shared" si="0"/>
        <v>415.95580492067393</v>
      </c>
    </row>
    <row r="4" spans="2:139" x14ac:dyDescent="0.3">
      <c r="B4" t="s">
        <v>20</v>
      </c>
      <c r="C4" s="6">
        <v>42.7</v>
      </c>
      <c r="D4" s="10">
        <f>P4-C4</f>
        <v>39.700000000000003</v>
      </c>
      <c r="E4" s="6">
        <v>51.2</v>
      </c>
      <c r="F4" s="10">
        <f>Q4-E4</f>
        <v>47.399999999999991</v>
      </c>
      <c r="G4" s="6">
        <v>50.4</v>
      </c>
      <c r="H4" s="10">
        <f>R4-G4</f>
        <v>43.6</v>
      </c>
      <c r="I4" s="6">
        <v>47</v>
      </c>
      <c r="J4" s="10">
        <f>S4-I4</f>
        <v>54.5</v>
      </c>
      <c r="K4" s="6">
        <f>K3-K5</f>
        <v>56.699999999999996</v>
      </c>
      <c r="L4" s="6">
        <f>L3-L5</f>
        <v>60.223349999999996</v>
      </c>
      <c r="N4" s="6">
        <v>61</v>
      </c>
      <c r="O4" s="6">
        <v>70</v>
      </c>
      <c r="P4" s="6">
        <v>82.4</v>
      </c>
      <c r="Q4" s="6">
        <v>98.6</v>
      </c>
      <c r="R4" s="6">
        <v>94</v>
      </c>
      <c r="S4" s="10">
        <v>101.5</v>
      </c>
      <c r="T4" s="10">
        <f>SUM(K4:L4)</f>
        <v>116.92335</v>
      </c>
      <c r="U4" s="6">
        <f t="shared" ref="U4:AC4" si="1">U3-U5</f>
        <v>128.17324449999998</v>
      </c>
      <c r="V4" s="6">
        <f t="shared" si="1"/>
        <v>138.11321039999999</v>
      </c>
      <c r="W4" s="6">
        <f t="shared" si="1"/>
        <v>147.40707851649998</v>
      </c>
      <c r="X4" s="6">
        <f t="shared" si="1"/>
        <v>159.19964479781999</v>
      </c>
      <c r="Y4" s="6">
        <f t="shared" si="1"/>
        <v>168.75162348568918</v>
      </c>
      <c r="Z4" s="6">
        <f t="shared" si="1"/>
        <v>177.18920465997365</v>
      </c>
      <c r="AA4" s="6">
        <f t="shared" si="1"/>
        <v>184.27677284637261</v>
      </c>
      <c r="AB4" s="6">
        <f t="shared" si="1"/>
        <v>189.8050760317638</v>
      </c>
      <c r="AC4" s="6">
        <f t="shared" si="1"/>
        <v>195.49922831271672</v>
      </c>
    </row>
    <row r="5" spans="2:139" s="1" customFormat="1" x14ac:dyDescent="0.3">
      <c r="B5" s="1" t="s">
        <v>21</v>
      </c>
      <c r="C5" s="9">
        <f t="shared" ref="C5:J5" si="2">C3-C4</f>
        <v>53.5</v>
      </c>
      <c r="D5" s="9">
        <f t="shared" si="2"/>
        <v>50</v>
      </c>
      <c r="E5" s="9">
        <f t="shared" si="2"/>
        <v>61.899999999999991</v>
      </c>
      <c r="F5" s="9">
        <f t="shared" si="2"/>
        <v>57.500000000000014</v>
      </c>
      <c r="G5" s="9">
        <f t="shared" si="2"/>
        <v>61.199999999999996</v>
      </c>
      <c r="H5" s="9">
        <f t="shared" si="2"/>
        <v>35.600000000000016</v>
      </c>
      <c r="I5" s="9">
        <f t="shared" si="2"/>
        <v>47.5</v>
      </c>
      <c r="J5" s="9">
        <f t="shared" si="2"/>
        <v>50</v>
      </c>
      <c r="K5" s="9">
        <f>K3*0.5</f>
        <v>56.699999999999996</v>
      </c>
      <c r="L5" s="9">
        <f>L3*0.49</f>
        <v>57.861649999999997</v>
      </c>
      <c r="N5" s="9">
        <f t="shared" ref="N5:T5" si="3">N3-N4</f>
        <v>70.300000000000011</v>
      </c>
      <c r="O5" s="9">
        <f t="shared" si="3"/>
        <v>87</v>
      </c>
      <c r="P5" s="9">
        <f t="shared" si="3"/>
        <v>103.5</v>
      </c>
      <c r="Q5" s="9">
        <f t="shared" si="3"/>
        <v>119.4</v>
      </c>
      <c r="R5" s="9">
        <f t="shared" si="3"/>
        <v>96.800000000000011</v>
      </c>
      <c r="S5" s="9">
        <f t="shared" si="3"/>
        <v>97.5</v>
      </c>
      <c r="T5" s="9">
        <f t="shared" si="3"/>
        <v>114.56164999999999</v>
      </c>
      <c r="U5" s="9">
        <f>U3*0.51</f>
        <v>133.40480549999998</v>
      </c>
      <c r="V5" s="9">
        <f>V3*0.52</f>
        <v>149.62264459999997</v>
      </c>
      <c r="W5" s="9">
        <f t="shared" ref="W5:AC5" si="4">W3*0.53</f>
        <v>166.22500343350001</v>
      </c>
      <c r="X5" s="9">
        <f t="shared" si="4"/>
        <v>179.52300370818</v>
      </c>
      <c r="Y5" s="9">
        <f t="shared" si="4"/>
        <v>190.29438393067082</v>
      </c>
      <c r="Z5" s="9">
        <f t="shared" si="4"/>
        <v>199.80910312720437</v>
      </c>
      <c r="AA5" s="9">
        <f t="shared" si="4"/>
        <v>207.80146725229255</v>
      </c>
      <c r="AB5" s="9">
        <f t="shared" si="4"/>
        <v>214.03551126986133</v>
      </c>
      <c r="AC5" s="9">
        <f t="shared" si="4"/>
        <v>220.4565766079572</v>
      </c>
    </row>
    <row r="6" spans="2:139" x14ac:dyDescent="0.3">
      <c r="B6" t="s">
        <v>22</v>
      </c>
      <c r="C6" s="6">
        <f>44+1</f>
        <v>45</v>
      </c>
      <c r="D6" s="10">
        <f>P6-C6</f>
        <v>47</v>
      </c>
      <c r="E6" s="6">
        <f>51.1+1.4</f>
        <v>52.5</v>
      </c>
      <c r="F6" s="10">
        <f>Q6-E6</f>
        <v>53.8</v>
      </c>
      <c r="G6" s="6">
        <f>50.7+1.2+6.7</f>
        <v>58.600000000000009</v>
      </c>
      <c r="H6" s="10">
        <f>R6-G6</f>
        <v>61.799999999999983</v>
      </c>
      <c r="I6" s="6">
        <f>42.1+0.7+2.4</f>
        <v>45.2</v>
      </c>
      <c r="J6" s="10">
        <f>S6-I6</f>
        <v>48.8</v>
      </c>
      <c r="K6" s="6">
        <f>I6*1.2</f>
        <v>54.24</v>
      </c>
      <c r="L6" s="6">
        <f>J6*1.15</f>
        <v>56.11999999999999</v>
      </c>
      <c r="N6" s="6">
        <f>62.3+3.1</f>
        <v>65.399999999999991</v>
      </c>
      <c r="O6" s="6">
        <f>76.7+0.8+0.3</f>
        <v>77.8</v>
      </c>
      <c r="P6" s="6">
        <f>90.2+1.8</f>
        <v>92</v>
      </c>
      <c r="Q6" s="6">
        <f>103.7+2.6</f>
        <v>106.3</v>
      </c>
      <c r="R6" s="6">
        <f>99.3-0.4+21.5</f>
        <v>120.39999999999999</v>
      </c>
      <c r="S6" s="10">
        <f>88.1+1.7+4.2</f>
        <v>94</v>
      </c>
      <c r="T6" s="10">
        <f>SUM(K6:L6)</f>
        <v>110.35999999999999</v>
      </c>
      <c r="U6" s="6">
        <f>T6*1.12</f>
        <v>123.6032</v>
      </c>
      <c r="V6" s="6">
        <f>U6*1.1</f>
        <v>135.96352000000002</v>
      </c>
      <c r="W6" s="6">
        <f>V6*1.08</f>
        <v>146.84060160000001</v>
      </c>
      <c r="X6" s="6">
        <f>W6*1.06</f>
        <v>155.65103769600003</v>
      </c>
      <c r="Y6" s="6">
        <f>X6*1.05</f>
        <v>163.43358958080003</v>
      </c>
      <c r="Z6" s="6">
        <f>Y6*1.04</f>
        <v>169.97093316403203</v>
      </c>
      <c r="AA6" s="6">
        <f>Z6*1.03</f>
        <v>175.070061158953</v>
      </c>
      <c r="AB6" s="6">
        <f>AA6*1.03</f>
        <v>180.32216299372158</v>
      </c>
      <c r="AC6" s="6">
        <f t="shared" ref="AC6" si="5">AB6*1.02</f>
        <v>183.928606253596</v>
      </c>
    </row>
    <row r="7" spans="2:139" s="1" customFormat="1" x14ac:dyDescent="0.3">
      <c r="B7" s="1" t="s">
        <v>23</v>
      </c>
      <c r="C7" s="9">
        <f t="shared" ref="C7:L7" si="6">C5-C6</f>
        <v>8.5</v>
      </c>
      <c r="D7" s="9">
        <f t="shared" si="6"/>
        <v>3</v>
      </c>
      <c r="E7" s="9">
        <f t="shared" si="6"/>
        <v>9.3999999999999915</v>
      </c>
      <c r="F7" s="9">
        <f t="shared" si="6"/>
        <v>3.7000000000000171</v>
      </c>
      <c r="G7" s="9">
        <f t="shared" si="6"/>
        <v>2.5999999999999872</v>
      </c>
      <c r="H7" s="9">
        <f t="shared" si="6"/>
        <v>-26.199999999999967</v>
      </c>
      <c r="I7" s="9">
        <f t="shared" si="6"/>
        <v>2.2999999999999972</v>
      </c>
      <c r="J7" s="9">
        <f t="shared" si="6"/>
        <v>1.2000000000000028</v>
      </c>
      <c r="K7" s="9">
        <f t="shared" si="6"/>
        <v>2.4599999999999937</v>
      </c>
      <c r="L7" s="9">
        <f t="shared" si="6"/>
        <v>1.741650000000007</v>
      </c>
      <c r="N7" s="9">
        <f t="shared" ref="N7:T7" si="7">N5-N6</f>
        <v>4.9000000000000199</v>
      </c>
      <c r="O7" s="9">
        <f t="shared" si="7"/>
        <v>9.2000000000000028</v>
      </c>
      <c r="P7" s="9">
        <f t="shared" si="7"/>
        <v>11.5</v>
      </c>
      <c r="Q7" s="9">
        <f t="shared" si="7"/>
        <v>13.100000000000009</v>
      </c>
      <c r="R7" s="9">
        <f t="shared" si="7"/>
        <v>-23.59999999999998</v>
      </c>
      <c r="S7" s="9">
        <f t="shared" si="7"/>
        <v>3.5</v>
      </c>
      <c r="T7" s="9">
        <f t="shared" si="7"/>
        <v>4.2016500000000008</v>
      </c>
      <c r="U7" s="9">
        <f t="shared" ref="U7:AC7" si="8">U5-U6</f>
        <v>9.8016054999999795</v>
      </c>
      <c r="V7" s="9">
        <f t="shared" si="8"/>
        <v>13.659124599999956</v>
      </c>
      <c r="W7" s="9">
        <f t="shared" si="8"/>
        <v>19.384401833499993</v>
      </c>
      <c r="X7" s="9">
        <f t="shared" si="8"/>
        <v>23.871966012179968</v>
      </c>
      <c r="Y7" s="9">
        <f t="shared" si="8"/>
        <v>26.860794349870787</v>
      </c>
      <c r="Z7" s="9">
        <f t="shared" si="8"/>
        <v>29.838169963172334</v>
      </c>
      <c r="AA7" s="9">
        <f t="shared" si="8"/>
        <v>32.731406093339558</v>
      </c>
      <c r="AB7" s="9">
        <f t="shared" si="8"/>
        <v>33.713348276139754</v>
      </c>
      <c r="AC7" s="9">
        <f t="shared" si="8"/>
        <v>36.527970354361202</v>
      </c>
    </row>
    <row r="8" spans="2:139" x14ac:dyDescent="0.3">
      <c r="B8" t="s">
        <v>24</v>
      </c>
      <c r="C8" s="6">
        <v>0.1</v>
      </c>
      <c r="D8" s="10">
        <f>P8-C8</f>
        <v>0.19999999999999998</v>
      </c>
      <c r="E8" s="6">
        <v>0.2</v>
      </c>
      <c r="F8" s="10">
        <f>Q8-E8</f>
        <v>9.9999999999999978E-2</v>
      </c>
      <c r="G8" s="6">
        <v>0.9</v>
      </c>
      <c r="H8" s="10">
        <f>R8-G8</f>
        <v>0.9</v>
      </c>
      <c r="I8" s="6">
        <v>0.9</v>
      </c>
      <c r="J8" s="10">
        <f>S8-I8</f>
        <v>0.70000000000000007</v>
      </c>
      <c r="K8" s="6">
        <v>1</v>
      </c>
      <c r="L8" s="6">
        <v>1</v>
      </c>
      <c r="N8" s="6">
        <v>6</v>
      </c>
      <c r="O8" s="6">
        <v>0.2</v>
      </c>
      <c r="P8" s="6">
        <v>0.3</v>
      </c>
      <c r="Q8" s="6">
        <v>0.3</v>
      </c>
      <c r="R8" s="6">
        <v>1.8</v>
      </c>
      <c r="S8" s="10">
        <v>1.6</v>
      </c>
      <c r="T8" s="10">
        <f>SUM(K8:L8)</f>
        <v>2</v>
      </c>
      <c r="U8" s="6">
        <f t="shared" ref="U8:AC8" si="9">T8*0.8</f>
        <v>1.6</v>
      </c>
      <c r="V8" s="6">
        <f t="shared" si="9"/>
        <v>1.2800000000000002</v>
      </c>
      <c r="W8" s="6">
        <f t="shared" si="9"/>
        <v>1.0240000000000002</v>
      </c>
      <c r="X8" s="6">
        <f t="shared" si="9"/>
        <v>0.81920000000000026</v>
      </c>
      <c r="Y8" s="6">
        <f t="shared" si="9"/>
        <v>0.65536000000000028</v>
      </c>
      <c r="Z8" s="6">
        <f t="shared" si="9"/>
        <v>0.5242880000000002</v>
      </c>
      <c r="AA8" s="6">
        <f t="shared" si="9"/>
        <v>0.4194304000000002</v>
      </c>
      <c r="AB8" s="6">
        <f t="shared" si="9"/>
        <v>0.33554432000000017</v>
      </c>
      <c r="AC8" s="6">
        <f t="shared" si="9"/>
        <v>0.26843545600000013</v>
      </c>
    </row>
    <row r="9" spans="2:139" s="1" customFormat="1" x14ac:dyDescent="0.3">
      <c r="B9" s="1" t="s">
        <v>25</v>
      </c>
      <c r="C9" s="9">
        <f t="shared" ref="C9:L9" si="10">C7-C8</f>
        <v>8.4</v>
      </c>
      <c r="D9" s="9">
        <f t="shared" si="10"/>
        <v>2.8</v>
      </c>
      <c r="E9" s="9">
        <f t="shared" si="10"/>
        <v>9.1999999999999922</v>
      </c>
      <c r="F9" s="9">
        <f t="shared" si="10"/>
        <v>3.600000000000017</v>
      </c>
      <c r="G9" s="9">
        <f t="shared" si="10"/>
        <v>1.6999999999999873</v>
      </c>
      <c r="H9" s="9">
        <f t="shared" si="10"/>
        <v>-27.099999999999966</v>
      </c>
      <c r="I9" s="9">
        <f t="shared" si="10"/>
        <v>1.3999999999999972</v>
      </c>
      <c r="J9" s="9">
        <f t="shared" si="10"/>
        <v>0.50000000000000278</v>
      </c>
      <c r="K9" s="9">
        <f t="shared" si="10"/>
        <v>1.4599999999999937</v>
      </c>
      <c r="L9" s="9">
        <f t="shared" si="10"/>
        <v>0.74165000000000703</v>
      </c>
      <c r="N9" s="9">
        <f t="shared" ref="N9:S9" si="11">N7-N8</f>
        <v>-1.0999999999999801</v>
      </c>
      <c r="O9" s="9">
        <f t="shared" si="11"/>
        <v>9.0000000000000036</v>
      </c>
      <c r="P9" s="9">
        <f t="shared" si="11"/>
        <v>11.2</v>
      </c>
      <c r="Q9" s="9">
        <f t="shared" si="11"/>
        <v>12.800000000000008</v>
      </c>
      <c r="R9" s="9">
        <f t="shared" si="11"/>
        <v>-25.399999999999981</v>
      </c>
      <c r="S9" s="9">
        <f t="shared" si="11"/>
        <v>1.9</v>
      </c>
      <c r="T9" s="9">
        <f t="shared" ref="T9:AC9" si="12">T7-T8</f>
        <v>2.2016500000000008</v>
      </c>
      <c r="U9" s="9">
        <f t="shared" si="12"/>
        <v>8.2016054999999799</v>
      </c>
      <c r="V9" s="9">
        <f t="shared" si="12"/>
        <v>12.379124599999955</v>
      </c>
      <c r="W9" s="9">
        <f t="shared" si="12"/>
        <v>18.360401833499992</v>
      </c>
      <c r="X9" s="9">
        <f t="shared" si="12"/>
        <v>23.052766012179969</v>
      </c>
      <c r="Y9" s="9">
        <f t="shared" si="12"/>
        <v>26.205434349870785</v>
      </c>
      <c r="Z9" s="9">
        <f t="shared" si="12"/>
        <v>29.313881963172335</v>
      </c>
      <c r="AA9" s="9">
        <f t="shared" si="12"/>
        <v>32.311975693339555</v>
      </c>
      <c r="AB9" s="9">
        <f t="shared" si="12"/>
        <v>33.377803956139758</v>
      </c>
      <c r="AC9" s="9">
        <f t="shared" si="12"/>
        <v>36.259534898361203</v>
      </c>
    </row>
    <row r="10" spans="2:139" x14ac:dyDescent="0.3">
      <c r="B10" t="s">
        <v>26</v>
      </c>
      <c r="C10" s="6">
        <v>1.9</v>
      </c>
      <c r="D10" s="10">
        <f>P10-C10</f>
        <v>0.70000000000000018</v>
      </c>
      <c r="E10" s="6">
        <v>2</v>
      </c>
      <c r="F10" s="10">
        <f>Q10-E10</f>
        <v>0.70000000000000018</v>
      </c>
      <c r="G10" s="6">
        <v>0.6</v>
      </c>
      <c r="H10" s="10">
        <f>R10-G10</f>
        <v>-5.1999999999999993</v>
      </c>
      <c r="I10" s="6">
        <v>0.2</v>
      </c>
      <c r="J10" s="10">
        <f>S10-I10</f>
        <v>0.90000000000000013</v>
      </c>
      <c r="K10" s="6">
        <f>K9*0.02</f>
        <v>2.9199999999999875E-2</v>
      </c>
      <c r="L10" s="6">
        <f>L9*0.02</f>
        <v>1.4833000000000141E-2</v>
      </c>
      <c r="N10" s="6">
        <v>0.6</v>
      </c>
      <c r="O10" s="6">
        <v>2.6</v>
      </c>
      <c r="P10" s="6">
        <v>2.6</v>
      </c>
      <c r="Q10" s="6">
        <v>2.7</v>
      </c>
      <c r="R10" s="6">
        <v>-4.5999999999999996</v>
      </c>
      <c r="S10" s="10">
        <v>1.1000000000000001</v>
      </c>
      <c r="T10" s="10">
        <f>SUM(K10:L10)</f>
        <v>4.4033000000000017E-2</v>
      </c>
      <c r="U10" s="6">
        <f t="shared" ref="U10:AC10" si="13">U9*0.2</f>
        <v>1.640321099999996</v>
      </c>
      <c r="V10" s="6">
        <f t="shared" si="13"/>
        <v>2.4758249199999911</v>
      </c>
      <c r="W10" s="6">
        <f t="shared" si="13"/>
        <v>3.6720803666999986</v>
      </c>
      <c r="X10" s="6">
        <f t="shared" si="13"/>
        <v>4.6105532024359936</v>
      </c>
      <c r="Y10" s="6">
        <f t="shared" si="13"/>
        <v>5.2410868699741577</v>
      </c>
      <c r="Z10" s="6">
        <f t="shared" si="13"/>
        <v>5.8627763926344674</v>
      </c>
      <c r="AA10" s="6">
        <f t="shared" si="13"/>
        <v>6.4623951386679117</v>
      </c>
      <c r="AB10" s="6">
        <f t="shared" si="13"/>
        <v>6.6755607912279515</v>
      </c>
      <c r="AC10" s="6">
        <f t="shared" si="13"/>
        <v>7.2519069796722411</v>
      </c>
    </row>
    <row r="11" spans="2:139" s="1" customFormat="1" x14ac:dyDescent="0.3">
      <c r="B11" s="1" t="s">
        <v>27</v>
      </c>
      <c r="C11" s="9">
        <f t="shared" ref="C11:J11" si="14">C9-C10</f>
        <v>6.5</v>
      </c>
      <c r="D11" s="9">
        <f t="shared" si="14"/>
        <v>2.0999999999999996</v>
      </c>
      <c r="E11" s="9">
        <f t="shared" si="14"/>
        <v>7.1999999999999922</v>
      </c>
      <c r="F11" s="9">
        <f t="shared" si="14"/>
        <v>2.9000000000000168</v>
      </c>
      <c r="G11" s="9">
        <f t="shared" si="14"/>
        <v>1.0999999999999872</v>
      </c>
      <c r="H11" s="9">
        <f t="shared" si="14"/>
        <v>-21.899999999999967</v>
      </c>
      <c r="I11" s="9">
        <f t="shared" si="14"/>
        <v>1.1999999999999973</v>
      </c>
      <c r="J11" s="9">
        <f t="shared" si="14"/>
        <v>-0.39999999999999736</v>
      </c>
      <c r="K11" s="9">
        <f t="shared" ref="K11:L11" si="15">K9-K10</f>
        <v>1.4307999999999939</v>
      </c>
      <c r="L11" s="9">
        <f t="shared" si="15"/>
        <v>0.72681700000000693</v>
      </c>
      <c r="N11" s="9">
        <f t="shared" ref="N11:S11" si="16">N9-N10</f>
        <v>-1.6999999999999802</v>
      </c>
      <c r="O11" s="9">
        <f t="shared" si="16"/>
        <v>6.4000000000000039</v>
      </c>
      <c r="P11" s="9">
        <f t="shared" si="16"/>
        <v>8.6</v>
      </c>
      <c r="Q11" s="9">
        <f t="shared" si="16"/>
        <v>10.100000000000009</v>
      </c>
      <c r="R11" s="9">
        <f t="shared" si="16"/>
        <v>-20.799999999999983</v>
      </c>
      <c r="S11" s="9">
        <f t="shared" si="16"/>
        <v>0.79999999999999982</v>
      </c>
      <c r="T11" s="9">
        <f t="shared" ref="T11:AC11" si="17">T9-T10</f>
        <v>2.1576170000000006</v>
      </c>
      <c r="U11" s="9">
        <f t="shared" si="17"/>
        <v>6.5612843999999839</v>
      </c>
      <c r="V11" s="9">
        <f t="shared" si="17"/>
        <v>9.9032996799999644</v>
      </c>
      <c r="W11" s="9">
        <f t="shared" si="17"/>
        <v>14.688321466799994</v>
      </c>
      <c r="X11" s="9">
        <f t="shared" si="17"/>
        <v>18.442212809743975</v>
      </c>
      <c r="Y11" s="9">
        <f t="shared" si="17"/>
        <v>20.964347479896627</v>
      </c>
      <c r="Z11" s="9">
        <f t="shared" si="17"/>
        <v>23.451105570537869</v>
      </c>
      <c r="AA11" s="9">
        <f t="shared" si="17"/>
        <v>25.849580554671643</v>
      </c>
      <c r="AB11" s="9">
        <f t="shared" si="17"/>
        <v>26.702243164911806</v>
      </c>
      <c r="AC11" s="9">
        <f t="shared" si="17"/>
        <v>29.007627918688961</v>
      </c>
      <c r="AD11" s="1">
        <f>AC11*(1+$AF$17)</f>
        <v>28.717551639502069</v>
      </c>
      <c r="AE11" s="1">
        <f t="shared" ref="AE11:CP11" si="18">AD11*(1+$AF$17)</f>
        <v>28.430376123107049</v>
      </c>
      <c r="AF11" s="1">
        <f t="shared" si="18"/>
        <v>28.146072361875976</v>
      </c>
      <c r="AG11" s="1">
        <f t="shared" si="18"/>
        <v>27.864611638257216</v>
      </c>
      <c r="AH11" s="1">
        <f t="shared" si="18"/>
        <v>27.585965521874645</v>
      </c>
      <c r="AI11" s="1">
        <f t="shared" si="18"/>
        <v>27.310105866655899</v>
      </c>
      <c r="AJ11" s="1">
        <f t="shared" si="18"/>
        <v>27.037004807989341</v>
      </c>
      <c r="AK11" s="1">
        <f t="shared" si="18"/>
        <v>26.766634759909447</v>
      </c>
      <c r="AL11" s="1">
        <f t="shared" si="18"/>
        <v>26.498968412310351</v>
      </c>
      <c r="AM11" s="1">
        <f t="shared" si="18"/>
        <v>26.233978728187246</v>
      </c>
      <c r="AN11" s="1">
        <f t="shared" si="18"/>
        <v>25.971638940905372</v>
      </c>
      <c r="AO11" s="1">
        <f t="shared" si="18"/>
        <v>25.711922551496318</v>
      </c>
      <c r="AP11" s="1">
        <f t="shared" si="18"/>
        <v>25.454803325981356</v>
      </c>
      <c r="AQ11" s="1">
        <f t="shared" si="18"/>
        <v>25.200255292721543</v>
      </c>
      <c r="AR11" s="1">
        <f t="shared" si="18"/>
        <v>24.948252739794327</v>
      </c>
      <c r="AS11" s="1">
        <f t="shared" si="18"/>
        <v>24.698770212396383</v>
      </c>
      <c r="AT11" s="1">
        <f t="shared" si="18"/>
        <v>24.45178251027242</v>
      </c>
      <c r="AU11" s="1">
        <f t="shared" si="18"/>
        <v>24.207264685169694</v>
      </c>
      <c r="AV11" s="1">
        <f t="shared" si="18"/>
        <v>23.965192038317998</v>
      </c>
      <c r="AW11" s="1">
        <f t="shared" si="18"/>
        <v>23.725540117934816</v>
      </c>
      <c r="AX11" s="1">
        <f t="shared" si="18"/>
        <v>23.488284716755469</v>
      </c>
      <c r="AY11" s="1">
        <f t="shared" si="18"/>
        <v>23.253401869587915</v>
      </c>
      <c r="AZ11" s="1">
        <f t="shared" si="18"/>
        <v>23.020867850892035</v>
      </c>
      <c r="BA11" s="1">
        <f t="shared" si="18"/>
        <v>22.790659172383116</v>
      </c>
      <c r="BB11" s="1">
        <f t="shared" si="18"/>
        <v>22.562752580659286</v>
      </c>
      <c r="BC11" s="1">
        <f t="shared" si="18"/>
        <v>22.337125054852692</v>
      </c>
      <c r="BD11" s="1">
        <f t="shared" si="18"/>
        <v>22.113753804304164</v>
      </c>
      <c r="BE11" s="1">
        <f t="shared" si="18"/>
        <v>21.892616266261122</v>
      </c>
      <c r="BF11" s="1">
        <f t="shared" si="18"/>
        <v>21.67369010359851</v>
      </c>
      <c r="BG11" s="1">
        <f t="shared" si="18"/>
        <v>21.456953202562524</v>
      </c>
      <c r="BH11" s="1">
        <f t="shared" si="18"/>
        <v>21.242383670536899</v>
      </c>
      <c r="BI11" s="1">
        <f t="shared" si="18"/>
        <v>21.02995983383153</v>
      </c>
      <c r="BJ11" s="1">
        <f t="shared" si="18"/>
        <v>20.819660235493213</v>
      </c>
      <c r="BK11" s="1">
        <f t="shared" si="18"/>
        <v>20.611463633138282</v>
      </c>
      <c r="BL11" s="1">
        <f t="shared" si="18"/>
        <v>20.4053489968069</v>
      </c>
      <c r="BM11" s="1">
        <f t="shared" si="18"/>
        <v>20.201295506838832</v>
      </c>
      <c r="BN11" s="1">
        <f t="shared" si="18"/>
        <v>19.999282551770445</v>
      </c>
      <c r="BO11" s="1">
        <f t="shared" si="18"/>
        <v>19.799289726252741</v>
      </c>
      <c r="BP11" s="1">
        <f t="shared" si="18"/>
        <v>19.601296828990215</v>
      </c>
      <c r="BQ11" s="1">
        <f t="shared" si="18"/>
        <v>19.405283860700312</v>
      </c>
      <c r="BR11" s="1">
        <f t="shared" si="18"/>
        <v>19.211231022093308</v>
      </c>
      <c r="BS11" s="1">
        <f t="shared" si="18"/>
        <v>19.019118711872373</v>
      </c>
      <c r="BT11" s="1">
        <f t="shared" si="18"/>
        <v>18.828927524753649</v>
      </c>
      <c r="BU11" s="1">
        <f t="shared" si="18"/>
        <v>18.640638249506111</v>
      </c>
      <c r="BV11" s="1">
        <f t="shared" si="18"/>
        <v>18.45423186701105</v>
      </c>
      <c r="BW11" s="1">
        <f t="shared" si="18"/>
        <v>18.269689548340939</v>
      </c>
      <c r="BX11" s="1">
        <f t="shared" si="18"/>
        <v>18.086992652857528</v>
      </c>
      <c r="BY11" s="1">
        <f t="shared" si="18"/>
        <v>17.906122726328952</v>
      </c>
      <c r="BZ11" s="1">
        <f t="shared" si="18"/>
        <v>17.727061499065663</v>
      </c>
      <c r="CA11" s="1">
        <f t="shared" si="18"/>
        <v>17.549790884075005</v>
      </c>
      <c r="CB11" s="1">
        <f t="shared" si="18"/>
        <v>17.374292975234255</v>
      </c>
      <c r="CC11" s="1">
        <f t="shared" si="18"/>
        <v>17.200550045481911</v>
      </c>
      <c r="CD11" s="1">
        <f t="shared" si="18"/>
        <v>17.028544545027092</v>
      </c>
      <c r="CE11" s="1">
        <f t="shared" si="18"/>
        <v>16.85825909957682</v>
      </c>
      <c r="CF11" s="1">
        <f t="shared" si="18"/>
        <v>16.689676508581051</v>
      </c>
      <c r="CG11" s="1">
        <f t="shared" si="18"/>
        <v>16.522779743495242</v>
      </c>
      <c r="CH11" s="1">
        <f t="shared" si="18"/>
        <v>16.357551946060291</v>
      </c>
      <c r="CI11" s="1">
        <f t="shared" si="18"/>
        <v>16.193976426599686</v>
      </c>
      <c r="CJ11" s="1">
        <f t="shared" si="18"/>
        <v>16.032036662333688</v>
      </c>
      <c r="CK11" s="1">
        <f t="shared" si="18"/>
        <v>15.871716295710351</v>
      </c>
      <c r="CL11" s="1">
        <f t="shared" si="18"/>
        <v>15.712999132753248</v>
      </c>
      <c r="CM11" s="1">
        <f t="shared" si="18"/>
        <v>15.555869141425715</v>
      </c>
      <c r="CN11" s="1">
        <f t="shared" si="18"/>
        <v>15.400310450011458</v>
      </c>
      <c r="CO11" s="1">
        <f t="shared" si="18"/>
        <v>15.246307345511344</v>
      </c>
      <c r="CP11" s="1">
        <f t="shared" si="18"/>
        <v>15.093844272056231</v>
      </c>
      <c r="CQ11" s="1">
        <f t="shared" ref="CQ11:EI11" si="19">CP11*(1+$AF$17)</f>
        <v>14.942905829335668</v>
      </c>
      <c r="CR11" s="1">
        <f t="shared" si="19"/>
        <v>14.793476771042311</v>
      </c>
      <c r="CS11" s="1">
        <f t="shared" si="19"/>
        <v>14.645542003331888</v>
      </c>
      <c r="CT11" s="1">
        <f t="shared" si="19"/>
        <v>14.499086583298569</v>
      </c>
      <c r="CU11" s="1">
        <f t="shared" si="19"/>
        <v>14.354095717465583</v>
      </c>
      <c r="CV11" s="1">
        <f t="shared" si="19"/>
        <v>14.210554760290927</v>
      </c>
      <c r="CW11" s="1">
        <f t="shared" si="19"/>
        <v>14.068449212688018</v>
      </c>
      <c r="CX11" s="1">
        <f t="shared" si="19"/>
        <v>13.927764720561138</v>
      </c>
      <c r="CY11" s="1">
        <f t="shared" si="19"/>
        <v>13.788487073355526</v>
      </c>
      <c r="CZ11" s="1">
        <f t="shared" si="19"/>
        <v>13.65060220262197</v>
      </c>
      <c r="DA11" s="1">
        <f t="shared" si="19"/>
        <v>13.51409618059575</v>
      </c>
      <c r="DB11" s="1">
        <f t="shared" si="19"/>
        <v>13.378955218789793</v>
      </c>
      <c r="DC11" s="1">
        <f t="shared" si="19"/>
        <v>13.245165666601896</v>
      </c>
      <c r="DD11" s="1">
        <f t="shared" si="19"/>
        <v>13.112714009935877</v>
      </c>
      <c r="DE11" s="1">
        <f t="shared" si="19"/>
        <v>12.981586869836518</v>
      </c>
      <c r="DF11" s="1">
        <f t="shared" si="19"/>
        <v>12.851771001138152</v>
      </c>
      <c r="DG11" s="1">
        <f t="shared" si="19"/>
        <v>12.72325329112677</v>
      </c>
      <c r="DH11" s="1">
        <f t="shared" si="19"/>
        <v>12.596020758215502</v>
      </c>
      <c r="DI11" s="1">
        <f t="shared" si="19"/>
        <v>12.470060550633347</v>
      </c>
      <c r="DJ11" s="1">
        <f t="shared" si="19"/>
        <v>12.345359945127013</v>
      </c>
      <c r="DK11" s="1">
        <f t="shared" si="19"/>
        <v>12.221906345675743</v>
      </c>
      <c r="DL11" s="1">
        <f t="shared" si="19"/>
        <v>12.099687282218985</v>
      </c>
      <c r="DM11" s="1">
        <f t="shared" si="19"/>
        <v>11.978690409396796</v>
      </c>
      <c r="DN11" s="1">
        <f t="shared" si="19"/>
        <v>11.858903505302829</v>
      </c>
      <c r="DO11" s="1">
        <f t="shared" si="19"/>
        <v>11.7403144702498</v>
      </c>
      <c r="DP11" s="1">
        <f t="shared" si="19"/>
        <v>11.622911325547301</v>
      </c>
      <c r="DQ11" s="1">
        <f t="shared" si="19"/>
        <v>11.506682212291828</v>
      </c>
      <c r="DR11" s="1">
        <f t="shared" si="19"/>
        <v>11.39161539016891</v>
      </c>
      <c r="DS11" s="1">
        <f t="shared" si="19"/>
        <v>11.277699236267221</v>
      </c>
      <c r="DT11" s="1">
        <f t="shared" si="19"/>
        <v>11.164922243904549</v>
      </c>
      <c r="DU11" s="1">
        <f t="shared" si="19"/>
        <v>11.053273021465504</v>
      </c>
      <c r="DV11" s="1">
        <f t="shared" si="19"/>
        <v>10.942740291250848</v>
      </c>
      <c r="DW11" s="1">
        <f t="shared" si="19"/>
        <v>10.833312888338339</v>
      </c>
      <c r="DX11" s="1">
        <f t="shared" si="19"/>
        <v>10.724979759454955</v>
      </c>
      <c r="DY11" s="1">
        <f t="shared" si="19"/>
        <v>10.617729961860405</v>
      </c>
      <c r="DZ11" s="1">
        <f t="shared" si="19"/>
        <v>10.511552662241801</v>
      </c>
      <c r="EA11" s="1">
        <f t="shared" si="19"/>
        <v>10.406437135619383</v>
      </c>
      <c r="EB11" s="1">
        <f t="shared" si="19"/>
        <v>10.30237276426319</v>
      </c>
      <c r="EC11" s="1">
        <f t="shared" si="19"/>
        <v>10.199349036620557</v>
      </c>
      <c r="ED11" s="1">
        <f t="shared" si="19"/>
        <v>10.097355546254351</v>
      </c>
      <c r="EE11" s="1">
        <f t="shared" si="19"/>
        <v>9.9963819907918072</v>
      </c>
      <c r="EF11" s="1">
        <f t="shared" si="19"/>
        <v>9.896418170883889</v>
      </c>
      <c r="EG11" s="1">
        <f t="shared" si="19"/>
        <v>9.7974539891750503</v>
      </c>
      <c r="EH11" s="1">
        <f t="shared" si="19"/>
        <v>9.6994794492833005</v>
      </c>
      <c r="EI11" s="1">
        <f t="shared" si="19"/>
        <v>9.6024846547904676</v>
      </c>
    </row>
    <row r="12" spans="2:139" x14ac:dyDescent="0.3">
      <c r="B12" t="s">
        <v>2</v>
      </c>
      <c r="C12" s="6">
        <v>111.2</v>
      </c>
      <c r="D12" s="6">
        <v>111.2</v>
      </c>
      <c r="E12" s="6">
        <v>111.2</v>
      </c>
      <c r="F12" s="6">
        <v>111.2</v>
      </c>
      <c r="G12" s="6">
        <v>111.2</v>
      </c>
      <c r="H12" s="6">
        <v>111.2</v>
      </c>
      <c r="I12" s="6">
        <v>111.2</v>
      </c>
      <c r="J12" s="6">
        <v>111.2</v>
      </c>
      <c r="K12" s="6">
        <v>111.2</v>
      </c>
      <c r="L12" s="6">
        <v>111.2</v>
      </c>
      <c r="N12" s="6">
        <v>111.2</v>
      </c>
      <c r="O12" s="6">
        <v>111.2</v>
      </c>
      <c r="P12" s="6">
        <v>111.2</v>
      </c>
      <c r="Q12" s="6">
        <v>111.2</v>
      </c>
      <c r="R12" s="6">
        <v>111.2</v>
      </c>
      <c r="S12" s="6">
        <v>111.2</v>
      </c>
      <c r="T12" s="6">
        <v>111.2</v>
      </c>
      <c r="U12" s="6">
        <v>111.2</v>
      </c>
      <c r="V12" s="6">
        <v>111.2</v>
      </c>
      <c r="W12" s="6">
        <v>111.2</v>
      </c>
      <c r="X12" s="6">
        <v>111.2</v>
      </c>
      <c r="Y12" s="6">
        <v>111.2</v>
      </c>
      <c r="Z12" s="6">
        <v>111.2</v>
      </c>
      <c r="AA12" s="6">
        <v>111.2</v>
      </c>
      <c r="AB12" s="6">
        <v>111.2</v>
      </c>
      <c r="AC12" s="6">
        <v>111.2</v>
      </c>
    </row>
    <row r="13" spans="2:139" s="1" customFormat="1" x14ac:dyDescent="0.3">
      <c r="B13" s="1" t="s">
        <v>28</v>
      </c>
      <c r="C13" s="8">
        <f t="shared" ref="C13:J13" si="20">C11/C12</f>
        <v>5.845323741007194E-2</v>
      </c>
      <c r="D13" s="8">
        <f t="shared" si="20"/>
        <v>1.8884892086330932E-2</v>
      </c>
      <c r="E13" s="8">
        <f t="shared" si="20"/>
        <v>6.4748201438848851E-2</v>
      </c>
      <c r="F13" s="8">
        <f t="shared" si="20"/>
        <v>2.6079136690647632E-2</v>
      </c>
      <c r="G13" s="8">
        <f t="shared" si="20"/>
        <v>9.8920863309351365E-3</v>
      </c>
      <c r="H13" s="8">
        <f t="shared" si="20"/>
        <v>-0.19694244604316516</v>
      </c>
      <c r="I13" s="8">
        <f t="shared" si="20"/>
        <v>1.0791366906474795E-2</v>
      </c>
      <c r="J13" s="8">
        <f t="shared" si="20"/>
        <v>-3.5971223021582497E-3</v>
      </c>
      <c r="K13" s="8">
        <f t="shared" ref="K13:L13" si="21">K11/K12</f>
        <v>1.2866906474820089E-2</v>
      </c>
      <c r="L13" s="8">
        <f t="shared" si="21"/>
        <v>6.5361241007194865E-3</v>
      </c>
      <c r="N13" s="8">
        <f t="shared" ref="N13:S13" si="22">N11/N12</f>
        <v>-1.5287769784172484E-2</v>
      </c>
      <c r="O13" s="8">
        <f t="shared" si="22"/>
        <v>5.7553956834532405E-2</v>
      </c>
      <c r="P13" s="8">
        <f t="shared" si="22"/>
        <v>7.7338129496402869E-2</v>
      </c>
      <c r="Q13" s="8">
        <f t="shared" si="22"/>
        <v>9.0827338129496477E-2</v>
      </c>
      <c r="R13" s="8">
        <f t="shared" si="22"/>
        <v>-0.18705035971223005</v>
      </c>
      <c r="S13" s="8">
        <f t="shared" si="22"/>
        <v>7.1942446043165454E-3</v>
      </c>
      <c r="T13" s="8">
        <f t="shared" ref="T13:AC13" si="23">T11/T12</f>
        <v>1.9403030575539573E-2</v>
      </c>
      <c r="U13" s="8">
        <f t="shared" si="23"/>
        <v>5.9004356115107764E-2</v>
      </c>
      <c r="V13" s="8">
        <f t="shared" si="23"/>
        <v>8.905845035971191E-2</v>
      </c>
      <c r="W13" s="8">
        <f t="shared" si="23"/>
        <v>0.13208922182374094</v>
      </c>
      <c r="X13" s="8">
        <f t="shared" si="23"/>
        <v>0.16584723749769761</v>
      </c>
      <c r="Y13" s="8">
        <f t="shared" si="23"/>
        <v>0.18852830467532938</v>
      </c>
      <c r="Z13" s="8">
        <f t="shared" si="23"/>
        <v>0.21089123714512473</v>
      </c>
      <c r="AA13" s="8">
        <f t="shared" si="23"/>
        <v>0.2324602567866155</v>
      </c>
      <c r="AB13" s="8">
        <f t="shared" si="23"/>
        <v>0.24012808601539393</v>
      </c>
      <c r="AC13" s="8">
        <f t="shared" si="23"/>
        <v>0.26085996329756261</v>
      </c>
    </row>
    <row r="15" spans="2:139" x14ac:dyDescent="0.3">
      <c r="B15" s="1" t="s">
        <v>29</v>
      </c>
      <c r="C15" s="12"/>
      <c r="D15" s="12"/>
      <c r="E15" s="12">
        <f>E3/C3-1</f>
        <v>0.17567567567567566</v>
      </c>
      <c r="F15" s="12">
        <f t="shared" ref="F15:J15" si="24">F3/D3-1</f>
        <v>0.16945373467112601</v>
      </c>
      <c r="G15" s="12">
        <f t="shared" si="24"/>
        <v>-1.3262599469496039E-2</v>
      </c>
      <c r="H15" s="12">
        <f t="shared" si="24"/>
        <v>-0.24499523355576724</v>
      </c>
      <c r="I15" s="12">
        <f t="shared" si="24"/>
        <v>-0.15322580645161288</v>
      </c>
      <c r="J15" s="12">
        <f t="shared" si="24"/>
        <v>0.3194444444444442</v>
      </c>
      <c r="K15" s="12">
        <f t="shared" ref="K15" si="25">K3/I3-1</f>
        <v>0.19999999999999996</v>
      </c>
      <c r="L15" s="12">
        <f t="shared" ref="L15" si="26">L3/J3-1</f>
        <v>0.12999999999999989</v>
      </c>
      <c r="N15" s="12"/>
      <c r="O15" s="12">
        <f>O3/N3-1</f>
        <v>0.19573495811119557</v>
      </c>
      <c r="P15" s="12">
        <f t="shared" ref="P15:AC15" si="27">P3/O3-1</f>
        <v>0.18407643312101918</v>
      </c>
      <c r="Q15" s="12">
        <f t="shared" si="27"/>
        <v>0.17267348036578811</v>
      </c>
      <c r="R15" s="12">
        <f t="shared" si="27"/>
        <v>-0.12477064220183476</v>
      </c>
      <c r="S15" s="12">
        <f t="shared" si="27"/>
        <v>4.2976939203354325E-2</v>
      </c>
      <c r="T15" s="12">
        <f t="shared" si="27"/>
        <v>0.16324120603015069</v>
      </c>
      <c r="U15" s="12">
        <f t="shared" si="27"/>
        <v>0.12999999999999989</v>
      </c>
      <c r="V15" s="12">
        <f t="shared" si="27"/>
        <v>0.10000000000000009</v>
      </c>
      <c r="W15" s="12">
        <f t="shared" si="27"/>
        <v>9.000000000000008E-2</v>
      </c>
      <c r="X15" s="12">
        <f t="shared" si="27"/>
        <v>8.0000000000000071E-2</v>
      </c>
      <c r="Y15" s="12">
        <f t="shared" si="27"/>
        <v>6.0000000000000053E-2</v>
      </c>
      <c r="Z15" s="12">
        <f t="shared" si="27"/>
        <v>5.0000000000000044E-2</v>
      </c>
      <c r="AA15" s="12">
        <f t="shared" si="27"/>
        <v>4.0000000000000036E-2</v>
      </c>
      <c r="AB15" s="12">
        <f t="shared" si="27"/>
        <v>3.0000000000000027E-2</v>
      </c>
      <c r="AC15" s="12">
        <f t="shared" si="27"/>
        <v>3.0000000000000027E-2</v>
      </c>
    </row>
    <row r="16" spans="2:139" x14ac:dyDescent="0.3">
      <c r="B16" s="1" t="s">
        <v>30</v>
      </c>
      <c r="C16" s="12">
        <f t="shared" ref="C16:D16" si="28">C5/C3</f>
        <v>0.55613305613305608</v>
      </c>
      <c r="D16" s="12">
        <f t="shared" si="28"/>
        <v>0.55741360089186176</v>
      </c>
      <c r="E16" s="12">
        <f>E5/E3</f>
        <v>0.54730327144120239</v>
      </c>
      <c r="F16" s="12">
        <f t="shared" ref="F16:J16" si="29">F5/F3</f>
        <v>0.54814108674928519</v>
      </c>
      <c r="G16" s="12">
        <f t="shared" si="29"/>
        <v>0.54838709677419351</v>
      </c>
      <c r="H16" s="12">
        <f t="shared" si="29"/>
        <v>0.44949494949494961</v>
      </c>
      <c r="I16" s="12">
        <f t="shared" si="29"/>
        <v>0.50264550264550267</v>
      </c>
      <c r="J16" s="12">
        <f t="shared" si="29"/>
        <v>0.4784688995215311</v>
      </c>
      <c r="K16" s="12">
        <f t="shared" ref="K16:L16" si="30">K5/K3</f>
        <v>0.5</v>
      </c>
      <c r="L16" s="12">
        <f t="shared" si="30"/>
        <v>0.49</v>
      </c>
      <c r="N16" s="12">
        <f t="shared" ref="N16:AC16" si="31">N5/N3</f>
        <v>0.53541507996953541</v>
      </c>
      <c r="O16" s="12">
        <f t="shared" si="31"/>
        <v>0.55414012738853502</v>
      </c>
      <c r="P16" s="12">
        <f t="shared" si="31"/>
        <v>0.55675094136632597</v>
      </c>
      <c r="Q16" s="12">
        <f t="shared" si="31"/>
        <v>0.54770642201834863</v>
      </c>
      <c r="R16" s="12">
        <f t="shared" si="31"/>
        <v>0.50733752620545081</v>
      </c>
      <c r="S16" s="12">
        <f t="shared" si="31"/>
        <v>0.4899497487437186</v>
      </c>
      <c r="T16" s="12">
        <f t="shared" si="31"/>
        <v>0.49489880553815579</v>
      </c>
      <c r="U16" s="12">
        <f t="shared" si="31"/>
        <v>0.51</v>
      </c>
      <c r="V16" s="12">
        <f t="shared" si="31"/>
        <v>0.52</v>
      </c>
      <c r="W16" s="12">
        <f t="shared" si="31"/>
        <v>0.53</v>
      </c>
      <c r="X16" s="12">
        <f t="shared" si="31"/>
        <v>0.53</v>
      </c>
      <c r="Y16" s="12">
        <f t="shared" si="31"/>
        <v>0.53</v>
      </c>
      <c r="Z16" s="12">
        <f t="shared" si="31"/>
        <v>0.53</v>
      </c>
      <c r="AA16" s="12">
        <f t="shared" si="31"/>
        <v>0.53</v>
      </c>
      <c r="AB16" s="12">
        <f t="shared" si="31"/>
        <v>0.53</v>
      </c>
      <c r="AC16" s="12">
        <f t="shared" si="31"/>
        <v>0.53</v>
      </c>
    </row>
    <row r="17" spans="2:32" x14ac:dyDescent="0.3">
      <c r="B17" s="11" t="s">
        <v>31</v>
      </c>
      <c r="C17" s="12">
        <f t="shared" ref="C17:D17" si="32">C7/C3</f>
        <v>8.8357588357588349E-2</v>
      </c>
      <c r="D17" s="12">
        <f t="shared" si="32"/>
        <v>3.3444816053511704E-2</v>
      </c>
      <c r="E17" s="12">
        <f>E7/E3</f>
        <v>8.3112290008841655E-2</v>
      </c>
      <c r="F17" s="12">
        <f t="shared" ref="F17:J17" si="33">F7/F3</f>
        <v>3.5271687321258502E-2</v>
      </c>
      <c r="G17" s="12">
        <f t="shared" si="33"/>
        <v>2.329749103942641E-2</v>
      </c>
      <c r="H17" s="12">
        <f t="shared" si="33"/>
        <v>-0.33080808080808033</v>
      </c>
      <c r="I17" s="12">
        <f t="shared" si="33"/>
        <v>2.4338624338624309E-2</v>
      </c>
      <c r="J17" s="12">
        <f t="shared" si="33"/>
        <v>1.1483253588516774E-2</v>
      </c>
      <c r="K17" s="12">
        <f t="shared" ref="K17:L17" si="34">K7/K3</f>
        <v>2.1693121693121639E-2</v>
      </c>
      <c r="L17" s="12">
        <f t="shared" si="34"/>
        <v>1.4749121395604921E-2</v>
      </c>
      <c r="N17" s="12">
        <f t="shared" ref="N17:AC17" si="35">N7/N3</f>
        <v>3.7319116527037469E-2</v>
      </c>
      <c r="O17" s="12">
        <f t="shared" si="35"/>
        <v>5.8598726114649696E-2</v>
      </c>
      <c r="P17" s="12">
        <f t="shared" si="35"/>
        <v>6.1861215707369549E-2</v>
      </c>
      <c r="Q17" s="12">
        <f t="shared" si="35"/>
        <v>6.0091743119266093E-2</v>
      </c>
      <c r="R17" s="12">
        <f t="shared" si="35"/>
        <v>-0.12368972746331226</v>
      </c>
      <c r="S17" s="12">
        <f t="shared" si="35"/>
        <v>1.7587939698492462E-2</v>
      </c>
      <c r="T17" s="12">
        <f t="shared" si="35"/>
        <v>1.8150852107047977E-2</v>
      </c>
      <c r="U17" s="12">
        <f t="shared" si="35"/>
        <v>3.7471055006335512E-2</v>
      </c>
      <c r="V17" s="12">
        <f t="shared" si="35"/>
        <v>4.7471055006335437E-2</v>
      </c>
      <c r="W17" s="12">
        <f t="shared" si="35"/>
        <v>6.180618294205726E-2</v>
      </c>
      <c r="X17" s="12">
        <f t="shared" si="35"/>
        <v>7.0476438813500575E-2</v>
      </c>
      <c r="Y17" s="12">
        <f t="shared" si="35"/>
        <v>7.4811566749222319E-2</v>
      </c>
      <c r="Z17" s="12">
        <f t="shared" si="35"/>
        <v>7.9146694684944022E-2</v>
      </c>
      <c r="AA17" s="12">
        <f t="shared" si="35"/>
        <v>8.3481822620665738E-2</v>
      </c>
      <c r="AB17" s="12">
        <f t="shared" si="35"/>
        <v>8.3481822620665766E-2</v>
      </c>
      <c r="AC17" s="12">
        <f t="shared" si="35"/>
        <v>8.7816950556387538E-2</v>
      </c>
      <c r="AE17" t="s">
        <v>33</v>
      </c>
      <c r="AF17" s="12">
        <v>-0.01</v>
      </c>
    </row>
    <row r="18" spans="2:32" x14ac:dyDescent="0.3">
      <c r="B18" s="11" t="s">
        <v>32</v>
      </c>
      <c r="C18" s="12"/>
      <c r="D18" s="12"/>
      <c r="E18" s="12">
        <f t="shared" ref="E18" si="36">E6/C6-1</f>
        <v>0.16666666666666674</v>
      </c>
      <c r="F18" s="12">
        <f t="shared" ref="F18" si="37">F6/D6-1</f>
        <v>0.14468085106382977</v>
      </c>
      <c r="G18" s="12">
        <f t="shared" ref="G18" si="38">G6/E6-1</f>
        <v>0.1161904761904764</v>
      </c>
      <c r="H18" s="12">
        <f t="shared" ref="H18" si="39">H6/F6-1</f>
        <v>0.14869888475836412</v>
      </c>
      <c r="I18" s="12">
        <f t="shared" ref="I18" si="40">I6/G6-1</f>
        <v>-0.22866894197952226</v>
      </c>
      <c r="J18" s="12">
        <f t="shared" ref="J18" si="41">J6/H6-1</f>
        <v>-0.21035598705501601</v>
      </c>
      <c r="K18" s="12">
        <f t="shared" ref="K18" si="42">K6/I6-1</f>
        <v>0.19999999999999996</v>
      </c>
      <c r="L18" s="12">
        <f t="shared" ref="L18" si="43">L6/J6-1</f>
        <v>0.14999999999999991</v>
      </c>
      <c r="N18" s="12"/>
      <c r="O18" s="12">
        <f t="shared" ref="O18:AC18" si="44">O6/N6-1</f>
        <v>0.18960244648318048</v>
      </c>
      <c r="P18" s="12">
        <f t="shared" si="44"/>
        <v>0.18251928020565567</v>
      </c>
      <c r="Q18" s="12">
        <f t="shared" si="44"/>
        <v>0.1554347826086957</v>
      </c>
      <c r="R18" s="12">
        <f t="shared" si="44"/>
        <v>0.13264346190028209</v>
      </c>
      <c r="S18" s="12">
        <f t="shared" si="44"/>
        <v>-0.21926910299003322</v>
      </c>
      <c r="T18" s="12">
        <f t="shared" si="44"/>
        <v>0.17404255319148931</v>
      </c>
      <c r="U18" s="12">
        <f t="shared" si="44"/>
        <v>0.12000000000000011</v>
      </c>
      <c r="V18" s="12">
        <f t="shared" si="44"/>
        <v>0.10000000000000009</v>
      </c>
      <c r="W18" s="12">
        <f t="shared" si="44"/>
        <v>8.0000000000000071E-2</v>
      </c>
      <c r="X18" s="12">
        <f t="shared" si="44"/>
        <v>6.0000000000000053E-2</v>
      </c>
      <c r="Y18" s="12">
        <f t="shared" si="44"/>
        <v>5.0000000000000044E-2</v>
      </c>
      <c r="Z18" s="12">
        <f t="shared" si="44"/>
        <v>4.0000000000000036E-2</v>
      </c>
      <c r="AA18" s="12">
        <f t="shared" si="44"/>
        <v>3.0000000000000027E-2</v>
      </c>
      <c r="AB18" s="12">
        <f t="shared" si="44"/>
        <v>3.0000000000000027E-2</v>
      </c>
      <c r="AC18" s="12">
        <f t="shared" si="44"/>
        <v>2.0000000000000018E-2</v>
      </c>
      <c r="AE18" t="s">
        <v>34</v>
      </c>
      <c r="AF18" s="12">
        <v>0.1</v>
      </c>
    </row>
    <row r="19" spans="2:32" x14ac:dyDescent="0.3">
      <c r="B19" s="11" t="s">
        <v>26</v>
      </c>
      <c r="C19" s="12">
        <f t="shared" ref="C19:D19" si="45">C10/C9</f>
        <v>0.22619047619047616</v>
      </c>
      <c r="D19" s="12">
        <f t="shared" si="45"/>
        <v>0.25000000000000006</v>
      </c>
      <c r="E19" s="12">
        <f>E10/E9</f>
        <v>0.21739130434782628</v>
      </c>
      <c r="F19" s="12">
        <f t="shared" ref="F19:J19" si="46">F10/F9</f>
        <v>0.19444444444444359</v>
      </c>
      <c r="G19" s="12">
        <f t="shared" si="46"/>
        <v>0.35294117647059087</v>
      </c>
      <c r="H19" s="12">
        <f t="shared" si="46"/>
        <v>0.1918819188191884</v>
      </c>
      <c r="I19" s="12">
        <f t="shared" si="46"/>
        <v>0.14285714285714315</v>
      </c>
      <c r="J19" s="12">
        <f t="shared" si="46"/>
        <v>1.7999999999999903</v>
      </c>
      <c r="K19" s="12">
        <f t="shared" ref="K19:L19" si="47">K10/K9</f>
        <v>0.02</v>
      </c>
      <c r="L19" s="12">
        <f t="shared" si="47"/>
        <v>0.02</v>
      </c>
      <c r="N19" s="12">
        <f t="shared" ref="N19:AC19" si="48">N10/N9</f>
        <v>-0.5454545454545553</v>
      </c>
      <c r="O19" s="12">
        <f t="shared" si="48"/>
        <v>0.28888888888888881</v>
      </c>
      <c r="P19" s="12">
        <f t="shared" si="48"/>
        <v>0.23214285714285718</v>
      </c>
      <c r="Q19" s="12">
        <f t="shared" si="48"/>
        <v>0.21093749999999989</v>
      </c>
      <c r="R19" s="12">
        <f t="shared" si="48"/>
        <v>0.18110236220472453</v>
      </c>
      <c r="S19" s="12">
        <f t="shared" si="48"/>
        <v>0.57894736842105265</v>
      </c>
      <c r="T19" s="12">
        <f t="shared" si="48"/>
        <v>0.02</v>
      </c>
      <c r="U19" s="12">
        <f t="shared" si="48"/>
        <v>0.2</v>
      </c>
      <c r="V19" s="12">
        <f t="shared" si="48"/>
        <v>0.2</v>
      </c>
      <c r="W19" s="12">
        <f t="shared" si="48"/>
        <v>0.2</v>
      </c>
      <c r="X19" s="12">
        <f t="shared" si="48"/>
        <v>0.19999999999999998</v>
      </c>
      <c r="Y19" s="12">
        <f t="shared" si="48"/>
        <v>0.20000000000000004</v>
      </c>
      <c r="Z19" s="12">
        <f t="shared" si="48"/>
        <v>0.2</v>
      </c>
      <c r="AA19" s="12">
        <f t="shared" si="48"/>
        <v>0.2</v>
      </c>
      <c r="AB19" s="12">
        <f t="shared" si="48"/>
        <v>0.2</v>
      </c>
      <c r="AC19" s="12">
        <f t="shared" si="48"/>
        <v>0.2</v>
      </c>
      <c r="AE19" t="s">
        <v>35</v>
      </c>
      <c r="AF19" s="6">
        <f>NPV(AF18,S11:EI11)</f>
        <v>178.35941856601605</v>
      </c>
    </row>
    <row r="20" spans="2:32" x14ac:dyDescent="0.3">
      <c r="B20" s="11" t="s">
        <v>42</v>
      </c>
      <c r="C20" s="12">
        <f>C11/C3</f>
        <v>6.7567567567567571E-2</v>
      </c>
      <c r="D20" s="12">
        <f t="shared" ref="D20:AC20" si="49">D11/D3</f>
        <v>2.3411371237458189E-2</v>
      </c>
      <c r="E20" s="12">
        <f t="shared" si="49"/>
        <v>6.3660477453580833E-2</v>
      </c>
      <c r="F20" s="12">
        <f t="shared" si="49"/>
        <v>2.7645376549094533E-2</v>
      </c>
      <c r="G20" s="12">
        <f t="shared" si="49"/>
        <v>9.8566308243726464E-3</v>
      </c>
      <c r="H20" s="12">
        <f t="shared" si="49"/>
        <v>-0.27651515151515105</v>
      </c>
      <c r="I20" s="12">
        <f t="shared" si="49"/>
        <v>1.2698412698412669E-2</v>
      </c>
      <c r="J20" s="12">
        <f t="shared" si="49"/>
        <v>-3.8277511961722233E-3</v>
      </c>
      <c r="K20" s="12">
        <f t="shared" ref="K20:L20" si="50">K11/K3</f>
        <v>1.2617283950617231E-2</v>
      </c>
      <c r="L20" s="12">
        <f t="shared" si="50"/>
        <v>6.1550323919211331E-3</v>
      </c>
      <c r="N20" s="12">
        <f t="shared" si="49"/>
        <v>-1.2947448591012796E-2</v>
      </c>
      <c r="O20" s="12">
        <f t="shared" si="49"/>
        <v>4.0764331210191108E-2</v>
      </c>
      <c r="P20" s="12">
        <f t="shared" si="49"/>
        <v>4.6261430876815487E-2</v>
      </c>
      <c r="Q20" s="12">
        <f t="shared" si="49"/>
        <v>4.6330275229357835E-2</v>
      </c>
      <c r="R20" s="12">
        <f t="shared" si="49"/>
        <v>-0.1090146750524108</v>
      </c>
      <c r="S20" s="12">
        <f t="shared" si="49"/>
        <v>4.0201005025125624E-3</v>
      </c>
      <c r="T20" s="12">
        <f t="shared" si="49"/>
        <v>9.3207637643907843E-3</v>
      </c>
      <c r="U20" s="12">
        <f t="shared" si="49"/>
        <v>2.5083467056964393E-2</v>
      </c>
      <c r="V20" s="12">
        <f t="shared" si="49"/>
        <v>3.4418024406447249E-2</v>
      </c>
      <c r="W20" s="12">
        <f t="shared" si="49"/>
        <v>4.6832968666584443E-2</v>
      </c>
      <c r="X20" s="12">
        <f t="shared" si="49"/>
        <v>5.4446352764088338E-2</v>
      </c>
      <c r="Y20" s="12">
        <f t="shared" si="49"/>
        <v>5.8389028277330966E-2</v>
      </c>
      <c r="Z20" s="12">
        <f t="shared" si="49"/>
        <v>6.2204803274014744E-2</v>
      </c>
      <c r="AA20" s="12">
        <f t="shared" si="49"/>
        <v>6.5929648501193747E-2</v>
      </c>
      <c r="AB20" s="12">
        <f t="shared" si="49"/>
        <v>6.6120751614716047E-2</v>
      </c>
      <c r="AC20" s="12">
        <f t="shared" si="49"/>
        <v>6.9737283566029193E-2</v>
      </c>
      <c r="AE20" t="s">
        <v>36</v>
      </c>
      <c r="AF20" s="6">
        <f>Main!D8</f>
        <v>4.0999999999999996</v>
      </c>
    </row>
    <row r="21" spans="2:32" x14ac:dyDescent="0.3">
      <c r="AE21" t="s">
        <v>37</v>
      </c>
      <c r="AF21" s="6">
        <f>AF19+AF20</f>
        <v>182.45941856601604</v>
      </c>
    </row>
    <row r="22" spans="2:32" x14ac:dyDescent="0.3">
      <c r="AE22" t="s">
        <v>38</v>
      </c>
      <c r="AF22" s="5">
        <f>AF21/AC12</f>
        <v>1.6408221094066191</v>
      </c>
    </row>
    <row r="23" spans="2:32" x14ac:dyDescent="0.3">
      <c r="AE23" t="s">
        <v>39</v>
      </c>
      <c r="AF23" s="5">
        <f>Main!D3</f>
        <v>2.65</v>
      </c>
    </row>
    <row r="24" spans="2:32" x14ac:dyDescent="0.3">
      <c r="AE24" s="1" t="s">
        <v>40</v>
      </c>
      <c r="AF24" s="13">
        <f>AF22/AF23-1</f>
        <v>-0.38082184550693621</v>
      </c>
    </row>
    <row r="25" spans="2:32" x14ac:dyDescent="0.3">
      <c r="AE25" t="s">
        <v>41</v>
      </c>
      <c r="AF25" s="7" t="s">
        <v>45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2021-03-11T15:20:08Z</dcterms:created>
  <dcterms:modified xsi:type="dcterms:W3CDTF">2021-08-12T11:23:27Z</dcterms:modified>
</cp:coreProperties>
</file>