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BC9E50F8-0D97-4B8A-9192-AAB7D62BB499}" xr6:coauthVersionLast="47" xr6:coauthVersionMax="47" xr10:uidLastSave="{00000000-0000-0000-0000-000000000000}"/>
  <bookViews>
    <workbookView xWindow="-108" yWindow="-108" windowWidth="23256" windowHeight="12576" activeTab="1" xr2:uid="{8D16C813-91F6-40E1-8248-3A7B1113BC8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1" i="2" l="1"/>
  <c r="AH11" i="2"/>
  <c r="AG11" i="2"/>
  <c r="AF11" i="2"/>
  <c r="AE11" i="2"/>
  <c r="AD11" i="2"/>
  <c r="AC11" i="2"/>
  <c r="AB11" i="2"/>
  <c r="AA11" i="2"/>
  <c r="Z11" i="2"/>
  <c r="Y11" i="2"/>
  <c r="Z9" i="2"/>
  <c r="AA9" i="2" s="1"/>
  <c r="AB9" i="2" s="1"/>
  <c r="AC9" i="2" s="1"/>
  <c r="AD9" i="2" s="1"/>
  <c r="AE9" i="2" s="1"/>
  <c r="AF9" i="2" s="1"/>
  <c r="AG9" i="2" s="1"/>
  <c r="AH9" i="2" s="1"/>
  <c r="AI9" i="2" s="1"/>
  <c r="Y9" i="2"/>
  <c r="X23" i="2"/>
  <c r="W23" i="2"/>
  <c r="V23" i="2"/>
  <c r="U23" i="2"/>
  <c r="T23" i="2"/>
  <c r="S23" i="2"/>
  <c r="R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P3" i="2"/>
  <c r="P5" i="2" s="1"/>
  <c r="P4" i="2" s="1"/>
  <c r="X4" i="2" s="1"/>
  <c r="AE7" i="2"/>
  <c r="AF7" i="2" s="1"/>
  <c r="AG7" i="2" s="1"/>
  <c r="AH7" i="2" s="1"/>
  <c r="AI7" i="2" s="1"/>
  <c r="AD7" i="2"/>
  <c r="AA7" i="2"/>
  <c r="AB7" i="2" s="1"/>
  <c r="AC7" i="2" s="1"/>
  <c r="Z7" i="2"/>
  <c r="Y7" i="2"/>
  <c r="Z6" i="2"/>
  <c r="AA6" i="2" s="1"/>
  <c r="AB6" i="2" s="1"/>
  <c r="AC6" i="2" s="1"/>
  <c r="AD6" i="2" s="1"/>
  <c r="AE6" i="2" s="1"/>
  <c r="AF6" i="2" s="1"/>
  <c r="AG6" i="2" s="1"/>
  <c r="AH6" i="2" s="1"/>
  <c r="AI6" i="2" s="1"/>
  <c r="Y6" i="2"/>
  <c r="P7" i="2"/>
  <c r="P6" i="2"/>
  <c r="P20" i="2" s="1"/>
  <c r="X12" i="2"/>
  <c r="X9" i="2"/>
  <c r="X7" i="2"/>
  <c r="X6" i="2"/>
  <c r="X3" i="2"/>
  <c r="I9" i="2"/>
  <c r="J9" i="2" s="1"/>
  <c r="J5" i="2"/>
  <c r="I5" i="2"/>
  <c r="J12" i="2"/>
  <c r="J7" i="2"/>
  <c r="L21" i="2" s="1"/>
  <c r="J6" i="2"/>
  <c r="L20" i="2" s="1"/>
  <c r="J3" i="2"/>
  <c r="L17" i="2" s="1"/>
  <c r="U9" i="2"/>
  <c r="O22" i="2"/>
  <c r="N22" i="2"/>
  <c r="M22" i="2"/>
  <c r="L22" i="2"/>
  <c r="K22" i="2"/>
  <c r="P21" i="2"/>
  <c r="O21" i="2"/>
  <c r="N21" i="2"/>
  <c r="M21" i="2"/>
  <c r="K21" i="2"/>
  <c r="O20" i="2"/>
  <c r="N20" i="2"/>
  <c r="M20" i="2"/>
  <c r="K20" i="2"/>
  <c r="O19" i="2"/>
  <c r="N19" i="2"/>
  <c r="M19" i="2"/>
  <c r="L19" i="2"/>
  <c r="K19" i="2"/>
  <c r="O18" i="2"/>
  <c r="N18" i="2"/>
  <c r="M18" i="2"/>
  <c r="L18" i="2"/>
  <c r="K18" i="2"/>
  <c r="O17" i="2"/>
  <c r="N17" i="2"/>
  <c r="M17" i="2"/>
  <c r="K17" i="2"/>
  <c r="L12" i="2"/>
  <c r="L11" i="2"/>
  <c r="L9" i="2"/>
  <c r="L7" i="2"/>
  <c r="L6" i="2"/>
  <c r="L4" i="2"/>
  <c r="L3" i="2"/>
  <c r="N12" i="2"/>
  <c r="N11" i="2"/>
  <c r="N9" i="2"/>
  <c r="N7" i="2"/>
  <c r="N6" i="2"/>
  <c r="N4" i="2"/>
  <c r="N3" i="2"/>
  <c r="K9" i="2"/>
  <c r="K5" i="2"/>
  <c r="K8" i="2" s="1"/>
  <c r="K10" i="2" s="1"/>
  <c r="K13" i="2" s="1"/>
  <c r="K15" i="2" s="1"/>
  <c r="V9" i="2"/>
  <c r="W9" i="2"/>
  <c r="W5" i="2"/>
  <c r="P8" i="2" l="1"/>
  <c r="P10" i="2" s="1"/>
  <c r="P18" i="2"/>
  <c r="P17" i="2"/>
  <c r="L5" i="2"/>
  <c r="L8" i="2" s="1"/>
  <c r="L10" i="2" s="1"/>
  <c r="L13" i="2" s="1"/>
  <c r="L15" i="2" s="1"/>
  <c r="N5" i="2"/>
  <c r="N8" i="2" s="1"/>
  <c r="N10" i="2" s="1"/>
  <c r="N13" i="2" s="1"/>
  <c r="N15" i="2" s="1"/>
  <c r="M5" i="2"/>
  <c r="M8" i="2" s="1"/>
  <c r="M10" i="2" s="1"/>
  <c r="M13" i="2" s="1"/>
  <c r="M15" i="2" s="1"/>
  <c r="O9" i="2"/>
  <c r="O5" i="2"/>
  <c r="O8" i="2" s="1"/>
  <c r="D7" i="1"/>
  <c r="D6" i="1"/>
  <c r="P11" i="2" l="1"/>
  <c r="P13" i="2" s="1"/>
  <c r="P15" i="2" s="1"/>
  <c r="P19" i="2"/>
  <c r="O10" i="2"/>
  <c r="O13" i="2" s="1"/>
  <c r="O15" i="2" s="1"/>
  <c r="I20" i="2"/>
  <c r="H9" i="2"/>
  <c r="H11" i="2"/>
  <c r="H6" i="2"/>
  <c r="X11" i="2" l="1"/>
  <c r="P22" i="2"/>
  <c r="I17" i="2"/>
  <c r="H4" i="2"/>
  <c r="H3" i="2"/>
  <c r="Y3" i="2" l="1"/>
  <c r="Z3" i="2" s="1"/>
  <c r="AA3" i="2" s="1"/>
  <c r="J20" i="2"/>
  <c r="I18" i="2"/>
  <c r="J17" i="2"/>
  <c r="J4" i="2"/>
  <c r="H5" i="2"/>
  <c r="U5" i="2" l="1"/>
  <c r="J18" i="2"/>
  <c r="AL25" i="2" l="1"/>
  <c r="T9" i="2"/>
  <c r="T6" i="2"/>
  <c r="T3" i="2"/>
  <c r="T4" i="2"/>
  <c r="S20" i="2"/>
  <c r="S17" i="2"/>
  <c r="G20" i="2"/>
  <c r="E20" i="2"/>
  <c r="G17" i="2"/>
  <c r="E17" i="2"/>
  <c r="D11" i="2"/>
  <c r="D9" i="2"/>
  <c r="D6" i="2"/>
  <c r="D4" i="2"/>
  <c r="D3" i="2"/>
  <c r="F11" i="2"/>
  <c r="F9" i="2"/>
  <c r="F6" i="2"/>
  <c r="H20" i="2" s="1"/>
  <c r="F4" i="2"/>
  <c r="F3" i="2"/>
  <c r="H17" i="2" s="1"/>
  <c r="R12" i="2"/>
  <c r="R7" i="2"/>
  <c r="R5" i="2"/>
  <c r="R18" i="2" s="1"/>
  <c r="S12" i="2"/>
  <c r="S7" i="2"/>
  <c r="S5" i="2"/>
  <c r="S18" i="2" s="1"/>
  <c r="C12" i="2"/>
  <c r="C7" i="2"/>
  <c r="C5" i="2"/>
  <c r="C18" i="2" s="1"/>
  <c r="E12" i="2"/>
  <c r="E7" i="2"/>
  <c r="E21" i="2" s="1"/>
  <c r="E5" i="2"/>
  <c r="G12" i="2"/>
  <c r="G7" i="2"/>
  <c r="G5" i="2"/>
  <c r="D8" i="1"/>
  <c r="AL22" i="2" s="1"/>
  <c r="D5" i="1"/>
  <c r="F3" i="1"/>
  <c r="T5" i="2" l="1"/>
  <c r="T18" i="2" s="1"/>
  <c r="S21" i="2"/>
  <c r="D12" i="2"/>
  <c r="F7" i="2"/>
  <c r="H7" i="2"/>
  <c r="T7" i="2" s="1"/>
  <c r="T21" i="2" s="1"/>
  <c r="G21" i="2"/>
  <c r="H12" i="2"/>
  <c r="T12" i="2" s="1"/>
  <c r="Y12" i="2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E8" i="2"/>
  <c r="E10" i="2" s="1"/>
  <c r="E22" i="2" s="1"/>
  <c r="E18" i="2"/>
  <c r="F20" i="2"/>
  <c r="F17" i="2"/>
  <c r="G8" i="2"/>
  <c r="G10" i="2" s="1"/>
  <c r="G22" i="2" s="1"/>
  <c r="F5" i="2"/>
  <c r="F18" i="2" s="1"/>
  <c r="G18" i="2"/>
  <c r="D5" i="2"/>
  <c r="D18" i="2" s="1"/>
  <c r="D7" i="2"/>
  <c r="H18" i="2"/>
  <c r="T17" i="2"/>
  <c r="D9" i="1"/>
  <c r="W20" i="2"/>
  <c r="V20" i="2"/>
  <c r="U20" i="2"/>
  <c r="T20" i="2"/>
  <c r="U17" i="2"/>
  <c r="F12" i="2"/>
  <c r="S8" i="2"/>
  <c r="R8" i="2"/>
  <c r="C8" i="2"/>
  <c r="AE20" i="2" l="1"/>
  <c r="H8" i="2"/>
  <c r="H10" i="2" s="1"/>
  <c r="F21" i="2"/>
  <c r="E19" i="2"/>
  <c r="I21" i="2"/>
  <c r="I8" i="2"/>
  <c r="H21" i="2"/>
  <c r="E13" i="2"/>
  <c r="E15" i="2" s="1"/>
  <c r="F8" i="2"/>
  <c r="F10" i="2" s="1"/>
  <c r="F22" i="2" s="1"/>
  <c r="G19" i="2"/>
  <c r="G13" i="2"/>
  <c r="G15" i="2" s="1"/>
  <c r="C10" i="2"/>
  <c r="C19" i="2"/>
  <c r="R10" i="2"/>
  <c r="R19" i="2"/>
  <c r="T8" i="2"/>
  <c r="T10" i="2" s="1"/>
  <c r="D8" i="2"/>
  <c r="S10" i="2"/>
  <c r="S19" i="2"/>
  <c r="X20" i="2"/>
  <c r="AF20" i="2" l="1"/>
  <c r="H19" i="2"/>
  <c r="F19" i="2"/>
  <c r="I10" i="2"/>
  <c r="I19" i="2"/>
  <c r="J21" i="2"/>
  <c r="J8" i="2"/>
  <c r="T19" i="2"/>
  <c r="D10" i="2"/>
  <c r="D19" i="2"/>
  <c r="R13" i="2"/>
  <c r="R15" i="2" s="1"/>
  <c r="R22" i="2"/>
  <c r="F13" i="2"/>
  <c r="F15" i="2" s="1"/>
  <c r="S13" i="2"/>
  <c r="S15" i="2" s="1"/>
  <c r="S22" i="2"/>
  <c r="C13" i="2"/>
  <c r="C15" i="2" s="1"/>
  <c r="C22" i="2"/>
  <c r="T11" i="2"/>
  <c r="H22" i="2"/>
  <c r="U18" i="2"/>
  <c r="V17" i="2"/>
  <c r="H13" i="2"/>
  <c r="H15" i="2" s="1"/>
  <c r="Y20" i="2"/>
  <c r="AG20" i="2" l="1"/>
  <c r="U21" i="2"/>
  <c r="U8" i="2"/>
  <c r="U19" i="2" s="1"/>
  <c r="J10" i="2"/>
  <c r="J19" i="2"/>
  <c r="D13" i="2"/>
  <c r="D15" i="2" s="1"/>
  <c r="D22" i="2"/>
  <c r="W17" i="2"/>
  <c r="T22" i="2"/>
  <c r="T13" i="2"/>
  <c r="T15" i="2" s="1"/>
  <c r="Z20" i="2"/>
  <c r="I22" i="2" l="1"/>
  <c r="J11" i="2"/>
  <c r="J22" i="2" s="1"/>
  <c r="U10" i="2"/>
  <c r="AI20" i="2"/>
  <c r="AH20" i="2"/>
  <c r="V21" i="2"/>
  <c r="I13" i="2"/>
  <c r="I15" i="2" s="1"/>
  <c r="X17" i="2"/>
  <c r="X5" i="2"/>
  <c r="W18" i="2"/>
  <c r="AA20" i="2"/>
  <c r="U22" i="2" l="1"/>
  <c r="X8" i="2"/>
  <c r="W21" i="2"/>
  <c r="W8" i="2"/>
  <c r="W10" i="2" s="1"/>
  <c r="J13" i="2"/>
  <c r="J15" i="2" s="1"/>
  <c r="X18" i="2"/>
  <c r="Y5" i="2"/>
  <c r="Y17" i="2"/>
  <c r="AB20" i="2"/>
  <c r="U13" i="2" l="1"/>
  <c r="U15" i="2" s="1"/>
  <c r="W19" i="2"/>
  <c r="Y8" i="2"/>
  <c r="X21" i="2"/>
  <c r="Z5" i="2"/>
  <c r="Z17" i="2"/>
  <c r="X19" i="2"/>
  <c r="X10" i="2"/>
  <c r="Y18" i="2"/>
  <c r="W13" i="2"/>
  <c r="W15" i="2" s="1"/>
  <c r="W22" i="2"/>
  <c r="Y4" i="2"/>
  <c r="AC20" i="2"/>
  <c r="Y21" i="2" l="1"/>
  <c r="Y10" i="2"/>
  <c r="Y19" i="2"/>
  <c r="Z18" i="2"/>
  <c r="X22" i="2"/>
  <c r="Z4" i="2"/>
  <c r="AB3" i="2"/>
  <c r="AA5" i="2"/>
  <c r="AA4" i="2" s="1"/>
  <c r="AA17" i="2"/>
  <c r="AD20" i="2"/>
  <c r="Z21" i="2" l="1"/>
  <c r="Z8" i="2"/>
  <c r="Z10" i="2" s="1"/>
  <c r="X13" i="2"/>
  <c r="AC3" i="2"/>
  <c r="AB5" i="2"/>
  <c r="AB17" i="2"/>
  <c r="AA18" i="2"/>
  <c r="Y22" i="2"/>
  <c r="Z19" i="2" l="1"/>
  <c r="AA21" i="2"/>
  <c r="AA8" i="2"/>
  <c r="X15" i="2"/>
  <c r="Y13" i="2"/>
  <c r="AA10" i="2"/>
  <c r="AA19" i="2"/>
  <c r="AB18" i="2"/>
  <c r="Z22" i="2"/>
  <c r="AB4" i="2"/>
  <c r="AC17" i="2"/>
  <c r="AC5" i="2"/>
  <c r="AC4" i="2" s="1"/>
  <c r="AD3" i="2"/>
  <c r="AE3" i="2" s="1"/>
  <c r="Y15" i="2" l="1"/>
  <c r="Y23" i="2"/>
  <c r="AF3" i="2"/>
  <c r="AE17" i="2"/>
  <c r="AE5" i="2"/>
  <c r="AE4" i="2" s="1"/>
  <c r="AB21" i="2"/>
  <c r="AC8" i="2"/>
  <c r="AB8" i="2"/>
  <c r="AB10" i="2" s="1"/>
  <c r="Z13" i="2"/>
  <c r="AD5" i="2"/>
  <c r="AD4" i="2" s="1"/>
  <c r="AD17" i="2"/>
  <c r="AC18" i="2"/>
  <c r="AA22" i="2"/>
  <c r="Z15" i="2" l="1"/>
  <c r="Z23" i="2"/>
  <c r="AB19" i="2"/>
  <c r="AE18" i="2"/>
  <c r="AF17" i="2"/>
  <c r="AG3" i="2"/>
  <c r="AF5" i="2"/>
  <c r="AF4" i="2" s="1"/>
  <c r="AC21" i="2"/>
  <c r="AC10" i="2"/>
  <c r="AC19" i="2"/>
  <c r="AB22" i="2"/>
  <c r="AA13" i="2"/>
  <c r="AA23" i="2" s="1"/>
  <c r="AD18" i="2"/>
  <c r="AD21" i="2" l="1"/>
  <c r="AA15" i="2"/>
  <c r="AF18" i="2"/>
  <c r="AG17" i="2"/>
  <c r="AG5" i="2"/>
  <c r="AG4" i="2" s="1"/>
  <c r="AH3" i="2"/>
  <c r="AD8" i="2"/>
  <c r="AD10" i="2" s="1"/>
  <c r="AB13" i="2"/>
  <c r="AC22" i="2"/>
  <c r="AB15" i="2" l="1"/>
  <c r="AB23" i="2"/>
  <c r="AE21" i="2"/>
  <c r="AE8" i="2"/>
  <c r="AH17" i="2"/>
  <c r="AI3" i="2"/>
  <c r="AH5" i="2"/>
  <c r="AH4" i="2"/>
  <c r="AG18" i="2"/>
  <c r="AD19" i="2"/>
  <c r="AC13" i="2"/>
  <c r="AC23" i="2" s="1"/>
  <c r="AD22" i="2"/>
  <c r="AF21" i="2" l="1"/>
  <c r="AF8" i="2"/>
  <c r="AE10" i="2"/>
  <c r="AE19" i="2"/>
  <c r="AH18" i="2"/>
  <c r="AI17" i="2"/>
  <c r="AI5" i="2"/>
  <c r="AC15" i="2"/>
  <c r="AD13" i="2"/>
  <c r="AD23" i="2" s="1"/>
  <c r="AE22" i="2" l="1"/>
  <c r="AF10" i="2"/>
  <c r="AF19" i="2"/>
  <c r="AG21" i="2"/>
  <c r="AG8" i="2"/>
  <c r="AI18" i="2"/>
  <c r="AI4" i="2"/>
  <c r="AD15" i="2"/>
  <c r="AG10" i="2" l="1"/>
  <c r="AG22" i="2" s="1"/>
  <c r="AG19" i="2"/>
  <c r="AH21" i="2"/>
  <c r="AH8" i="2"/>
  <c r="AF22" i="2"/>
  <c r="AE13" i="2"/>
  <c r="AE15" i="2" l="1"/>
  <c r="AE23" i="2"/>
  <c r="AF13" i="2"/>
  <c r="AI21" i="2"/>
  <c r="AI8" i="2"/>
  <c r="AH10" i="2"/>
  <c r="AH22" i="2" s="1"/>
  <c r="AH19" i="2"/>
  <c r="AG13" i="2"/>
  <c r="AF15" i="2" l="1"/>
  <c r="AF23" i="2"/>
  <c r="AG15" i="2"/>
  <c r="AG23" i="2"/>
  <c r="AH13" i="2"/>
  <c r="AI19" i="2"/>
  <c r="AI10" i="2"/>
  <c r="AH15" i="2" l="1"/>
  <c r="AH23" i="2"/>
  <c r="AI22" i="2"/>
  <c r="AI13" i="2" l="1"/>
  <c r="AJ13" i="2" l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AL21" i="2" s="1"/>
  <c r="AL23" i="2" s="1"/>
  <c r="AL24" i="2" s="1"/>
  <c r="AL26" i="2" s="1"/>
  <c r="AI23" i="2"/>
  <c r="AI15" i="2"/>
  <c r="V5" i="2" l="1"/>
  <c r="V8" i="2" s="1"/>
  <c r="V19" i="2" l="1"/>
  <c r="V10" i="2"/>
  <c r="V18" i="2"/>
  <c r="V22" i="2" l="1"/>
  <c r="V13" i="2" l="1"/>
  <c r="V15" i="2" s="1"/>
</calcChain>
</file>

<file path=xl/sharedStrings.xml><?xml version="1.0" encoding="utf-8"?>
<sst xmlns="http://schemas.openxmlformats.org/spreadsheetml/2006/main" count="59" uniqueCount="54">
  <si>
    <t>KER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</si>
  <si>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</si>
  <si>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</si>
  <si>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</si>
  <si>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</si>
  <si>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</si>
  <si>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</si>
  <si>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</si>
  <si>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</si>
  <si>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</si>
  <si>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</si>
  <si>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H120</t>
  </si>
  <si>
    <t>Revenue</t>
  </si>
  <si>
    <t>H218</t>
  </si>
  <si>
    <t>H219</t>
  </si>
  <si>
    <t>H220</t>
  </si>
  <si>
    <t>H118</t>
  </si>
  <si>
    <t>H119</t>
  </si>
  <si>
    <t>Cost of sales</t>
  </si>
  <si>
    <t>Gross profit</t>
  </si>
  <si>
    <t>G&amp;A</t>
  </si>
  <si>
    <t>Other operating expense</t>
  </si>
  <si>
    <t>Operating profit</t>
  </si>
  <si>
    <t>Taxes</t>
  </si>
  <si>
    <t>MI</t>
  </si>
  <si>
    <t>Pretax profit</t>
  </si>
  <si>
    <t>Net profit</t>
  </si>
  <si>
    <t>EPS</t>
  </si>
  <si>
    <t>Net finance expense</t>
  </si>
  <si>
    <t>Revenue y/y</t>
  </si>
  <si>
    <t>Gross Margin</t>
  </si>
  <si>
    <t>Operating Margin</t>
  </si>
  <si>
    <t>G&amp;A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</si>
  <si>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</si>
  <si>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</si>
  <si>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</si>
  <si>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</si>
  <si>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</si>
  <si>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</si>
  <si>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</si>
  <si>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</si>
  <si>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</si>
  <si>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H121</t>
  </si>
  <si>
    <t>H221</t>
  </si>
  <si>
    <t>Operating y/y</t>
  </si>
  <si>
    <t>H123</t>
  </si>
  <si>
    <t>H122</t>
  </si>
  <si>
    <t>H222</t>
  </si>
  <si>
    <t>H223</t>
  </si>
  <si>
    <t>H124</t>
  </si>
  <si>
    <t>H224</t>
  </si>
  <si>
    <t>Net Margin</t>
  </si>
  <si>
    <t>Overvalued</t>
  </si>
  <si>
    <t>revenue and cash flow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</si>
</sst>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0</xdr:row>
      <xdr:rowOff>0</xdr:rowOff>
    </xdr:from>
    <xdr:to>
      <xdr:col>15</xdr:col>
      <xdr:colOff>30480</xdr:colOff>
      <xdr:row>34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36965C-7993-413A-AEE4-8AB691E85D5D}"/>
            </a:ext>
          </a:extLst>
        </xdr:cNvPr>
        <xdr:cNvCxnSpPr/>
      </xdr:nvCxnSpPr>
      <xdr:spPr>
        <a:xfrm>
          <a:off x="10027920" y="0"/>
          <a:ext cx="0" cy="63093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</xdr:colOff>
      <xdr:row>0</xdr:row>
      <xdr:rowOff>0</xdr:rowOff>
    </xdr:from>
    <xdr:to>
      <xdr:col>23</xdr:col>
      <xdr:colOff>22860</xdr:colOff>
      <xdr:row>33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B431FDE-0F42-45E9-A525-9647D9777867}"/>
            </a:ext>
          </a:extLst>
        </xdr:cNvPr>
        <xdr:cNvCxnSpPr/>
      </xdr:nvCxnSpPr>
      <xdr:spPr>
        <a:xfrm>
          <a:off x="1489710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0100-7D26-4E44-8484-276DF7A2A000}">
  <dimension ref="B2:I13"/>
  <sheetViews>
    <sheetView workbookViewId="0">
      <selection activeCell="I14" sqref="I14"/>
    </sheetView>
  </sheetViews>
  <sheetFormatPr defaultRowHeight="14.4" x14ac:dyDescent="0.3"/>
  <cols>
    <col min="5" max="7" width="15.77734375" style="2" customWidth="1"/>
  </cols>
  <sheetData>
    <row r="2" spans="2:9" x14ac:dyDescent="0.3">
      <c r="E2" s="2" t="s">
        <v>8</v>
      </c>
      <c r="F2" s="2" t="s">
        <v>9</v>
      </c>
      <c r="G2" s="2" t="s">
        <v>10</v>
      </c>
    </row>
    <row r="3" spans="2:9" x14ac:dyDescent="0.3">
      <c r="B3" s="1" t="s">
        <v>0</v>
      </c>
      <c r="C3" t="s">
        <v>1</v>
      </c>
      <c r="D3" s="4">
        <v>238.2</v>
      </c>
      <c r="E3" s="3">
        <v>45633</v>
      </c>
      <c r="F3" s="3">
        <f ca="1">TODAY()</f>
        <v>45633</v>
      </c>
      <c r="G3" s="3">
        <v>45699</v>
      </c>
    </row>
    <row r="4" spans="2:9" x14ac:dyDescent="0.3">
      <c r="C4" t="s">
        <v>2</v>
      </c>
      <c r="D4" s="5">
        <v>122.6</v>
      </c>
      <c r="E4" s="2" t="s">
        <v>49</v>
      </c>
    </row>
    <row r="5" spans="2:9" x14ac:dyDescent="0.3">
      <c r="C5" t="s">
        <v>3</v>
      </c>
      <c r="D5" s="5">
        <f>D3*D4</f>
        <v>29203.319999999996</v>
      </c>
    </row>
    <row r="6" spans="2:9" x14ac:dyDescent="0.3">
      <c r="C6" t="s">
        <v>4</v>
      </c>
      <c r="D6" s="5">
        <f>3934+1775</f>
        <v>5709</v>
      </c>
      <c r="E6" s="2" t="s">
        <v>49</v>
      </c>
    </row>
    <row r="7" spans="2:9" x14ac:dyDescent="0.3">
      <c r="C7" t="s">
        <v>5</v>
      </c>
      <c r="D7" s="5">
        <f>2838+11018</f>
        <v>13856</v>
      </c>
      <c r="E7" s="2" t="s">
        <v>49</v>
      </c>
    </row>
    <row r="8" spans="2:9" x14ac:dyDescent="0.3">
      <c r="C8" t="s">
        <v>6</v>
      </c>
      <c r="D8" s="5">
        <f>D6-D7</f>
        <v>-8147</v>
      </c>
    </row>
    <row r="9" spans="2:9" x14ac:dyDescent="0.3">
      <c r="C9" t="s">
        <v>7</v>
      </c>
      <c r="D9" s="5">
        <f>D5-D8</f>
        <v>37350.319999999992</v>
      </c>
    </row>
    <row r="13" spans="2:9" x14ac:dyDescent="0.3">
      <c r="I13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7753-3B72-4E3D-B52F-0322DB1F11AE}">
  <dimension ref="B2:FE27"/>
  <sheetViews>
    <sheetView tabSelected="1" zoomScaleNormal="10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Q3" sqref="Q3"/>
    </sheetView>
  </sheetViews>
  <sheetFormatPr defaultRowHeight="14.4" x14ac:dyDescent="0.3"/>
  <cols>
    <col min="2" max="2" width="21.33203125" bestFit="1" customWidth="1"/>
    <col min="37" max="37" width="11.88671875" bestFit="1" customWidth="1"/>
    <col min="38" max="38" width="17.33203125" bestFit="1" customWidth="1"/>
  </cols>
  <sheetData>
    <row r="2" spans="2:161" x14ac:dyDescent="0.3">
      <c r="C2" s="6" t="s">
        <v>16</v>
      </c>
      <c r="D2" s="6" t="s">
        <v>13</v>
      </c>
      <c r="E2" s="6" t="s">
        <v>17</v>
      </c>
      <c r="F2" s="6" t="s">
        <v>14</v>
      </c>
      <c r="G2" s="6" t="s">
        <v>11</v>
      </c>
      <c r="H2" s="6" t="s">
        <v>15</v>
      </c>
      <c r="I2" s="6" t="s">
        <v>42</v>
      </c>
      <c r="J2" s="6" t="s">
        <v>43</v>
      </c>
      <c r="K2" s="6" t="s">
        <v>46</v>
      </c>
      <c r="L2" s="6" t="s">
        <v>47</v>
      </c>
      <c r="M2" s="6" t="s">
        <v>45</v>
      </c>
      <c r="N2" s="6" t="s">
        <v>48</v>
      </c>
      <c r="O2" s="6" t="s">
        <v>49</v>
      </c>
      <c r="P2" s="6" t="s">
        <v>50</v>
      </c>
      <c r="R2">
        <v>2018</v>
      </c>
      <c r="S2">
        <v>2019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  <c r="AA2">
        <v>2027</v>
      </c>
      <c r="AB2">
        <v>2028</v>
      </c>
      <c r="AC2">
        <v>2029</v>
      </c>
      <c r="AD2">
        <v>2030</v>
      </c>
      <c r="AE2">
        <v>2031</v>
      </c>
      <c r="AF2">
        <v>2032</v>
      </c>
      <c r="AG2">
        <v>2033</v>
      </c>
      <c r="AH2">
        <v>2034</v>
      </c>
      <c r="AI2">
        <v>2035</v>
      </c>
    </row>
    <row r="3" spans="2:161" s="1" customFormat="1" x14ac:dyDescent="0.3">
      <c r="B3" s="1" t="s">
        <v>12</v>
      </c>
      <c r="C3" s="9">
        <v>6431.9</v>
      </c>
      <c r="D3" s="9">
        <f>R3-C3</f>
        <v>7233.3000000000011</v>
      </c>
      <c r="E3" s="9">
        <v>7638.4</v>
      </c>
      <c r="F3" s="9">
        <f>S3-E3</f>
        <v>8245.1</v>
      </c>
      <c r="G3" s="9">
        <v>5378.3</v>
      </c>
      <c r="H3" s="9">
        <f>13100.2-G3</f>
        <v>7721.9000000000005</v>
      </c>
      <c r="I3" s="9">
        <v>8047.2</v>
      </c>
      <c r="J3" s="9">
        <f>U3-I3</f>
        <v>9597.7999999999993</v>
      </c>
      <c r="K3" s="9">
        <v>9930</v>
      </c>
      <c r="L3" s="9">
        <f>V3-K3</f>
        <v>10421</v>
      </c>
      <c r="M3" s="9">
        <v>10135</v>
      </c>
      <c r="N3" s="9">
        <f>W3-M3</f>
        <v>9431</v>
      </c>
      <c r="O3" s="9">
        <v>9018</v>
      </c>
      <c r="P3" s="9">
        <f>N3*0.87</f>
        <v>8204.9699999999993</v>
      </c>
      <c r="R3" s="9">
        <v>13665.2</v>
      </c>
      <c r="S3" s="9">
        <v>15883.5</v>
      </c>
      <c r="T3" s="9">
        <f>SUM(G3:H3)</f>
        <v>13100.2</v>
      </c>
      <c r="U3" s="9">
        <v>17645</v>
      </c>
      <c r="V3" s="9">
        <v>20351</v>
      </c>
      <c r="W3" s="9">
        <v>19566</v>
      </c>
      <c r="X3" s="9">
        <f>SUM(O3:P3)</f>
        <v>17222.97</v>
      </c>
      <c r="Y3" s="9">
        <f>X3*1.05</f>
        <v>18084.1185</v>
      </c>
      <c r="Z3" s="9">
        <f>Y3*1.04</f>
        <v>18807.483240000001</v>
      </c>
      <c r="AA3" s="9">
        <f>Z3*1.03</f>
        <v>19371.707737200002</v>
      </c>
      <c r="AB3" s="9">
        <f>AA3*1.02</f>
        <v>19759.141891944004</v>
      </c>
      <c r="AC3" s="9">
        <f t="shared" ref="AC3:AD3" si="0">AB3*1.02</f>
        <v>20154.324729782886</v>
      </c>
      <c r="AD3" s="9">
        <f t="shared" si="0"/>
        <v>20557.411224378542</v>
      </c>
      <c r="AE3" s="9">
        <f t="shared" ref="AE3" si="1">AD3*1.02</f>
        <v>20968.559448866112</v>
      </c>
      <c r="AF3" s="9">
        <f t="shared" ref="AF3" si="2">AE3*1.02</f>
        <v>21387.930637843434</v>
      </c>
      <c r="AG3" s="9">
        <f t="shared" ref="AG3" si="3">AF3*1.02</f>
        <v>21815.689250600302</v>
      </c>
      <c r="AH3" s="9">
        <f t="shared" ref="AH3" si="4">AG3*1.02</f>
        <v>22252.00303561231</v>
      </c>
      <c r="AI3" s="9">
        <f t="shared" ref="AI3" si="5">AH3*1.02</f>
        <v>22697.043096324556</v>
      </c>
    </row>
    <row r="4" spans="2:161" x14ac:dyDescent="0.3">
      <c r="B4" t="s">
        <v>18</v>
      </c>
      <c r="C4" s="5">
        <v>1655.9</v>
      </c>
      <c r="D4" s="5">
        <f>R4-C4</f>
        <v>1811.1</v>
      </c>
      <c r="E4" s="5">
        <v>1986.3</v>
      </c>
      <c r="F4" s="5">
        <f>S4-E4</f>
        <v>2122.1999999999998</v>
      </c>
      <c r="G4" s="5">
        <v>1474.8</v>
      </c>
      <c r="H4" s="5">
        <f>3590.2-G4</f>
        <v>2115.3999999999996</v>
      </c>
      <c r="I4" s="5">
        <v>2104.6</v>
      </c>
      <c r="J4" s="11">
        <f>U4-I4</f>
        <v>2472.4</v>
      </c>
      <c r="K4" s="5">
        <v>2552</v>
      </c>
      <c r="L4" s="11">
        <f>V4-K4</f>
        <v>2601</v>
      </c>
      <c r="M4" s="5">
        <v>2405</v>
      </c>
      <c r="N4" s="11">
        <f>W4-M4</f>
        <v>2234</v>
      </c>
      <c r="O4" s="5">
        <v>2310</v>
      </c>
      <c r="P4" s="5">
        <f>P3-P5</f>
        <v>2215.3419000000004</v>
      </c>
      <c r="R4" s="5">
        <v>3467</v>
      </c>
      <c r="S4" s="5">
        <v>4108.5</v>
      </c>
      <c r="T4" s="5">
        <f>SUM(G4:H4)</f>
        <v>3590.2</v>
      </c>
      <c r="U4" s="5">
        <v>4577</v>
      </c>
      <c r="V4" s="5">
        <v>5153</v>
      </c>
      <c r="W4" s="5">
        <v>4639</v>
      </c>
      <c r="X4" s="11">
        <f>SUM(O4:P4)</f>
        <v>4525.3419000000004</v>
      </c>
      <c r="Y4" s="5">
        <f t="shared" ref="V4:AD4" si="6">Y3-Y5</f>
        <v>4701.8708100000003</v>
      </c>
      <c r="Z4" s="5">
        <f t="shared" si="6"/>
        <v>4889.9456424</v>
      </c>
      <c r="AA4" s="5">
        <f t="shared" si="6"/>
        <v>5036.6440116720005</v>
      </c>
      <c r="AB4" s="5">
        <f t="shared" si="6"/>
        <v>5137.3768919054419</v>
      </c>
      <c r="AC4" s="5">
        <f t="shared" si="6"/>
        <v>5240.1244297435496</v>
      </c>
      <c r="AD4" s="5">
        <f t="shared" si="6"/>
        <v>5344.9269183384204</v>
      </c>
      <c r="AE4" s="5">
        <f t="shared" ref="AE4:AI4" si="7">AE3-AE5</f>
        <v>5451.8254567051899</v>
      </c>
      <c r="AF4" s="5">
        <f t="shared" si="7"/>
        <v>5560.8619658392927</v>
      </c>
      <c r="AG4" s="5">
        <f t="shared" si="7"/>
        <v>5672.0792051560784</v>
      </c>
      <c r="AH4" s="5">
        <f t="shared" si="7"/>
        <v>5785.5207892592007</v>
      </c>
      <c r="AI4" s="5">
        <f t="shared" si="7"/>
        <v>5901.2312050443834</v>
      </c>
    </row>
    <row r="5" spans="2:161" s="1" customFormat="1" x14ac:dyDescent="0.3">
      <c r="B5" s="1" t="s">
        <v>19</v>
      </c>
      <c r="C5" s="9">
        <f t="shared" ref="C5:J5" si="8">C3-C4</f>
        <v>4776</v>
      </c>
      <c r="D5" s="9">
        <f t="shared" si="8"/>
        <v>5422.2000000000007</v>
      </c>
      <c r="E5" s="9">
        <f t="shared" si="8"/>
        <v>5652.0999999999995</v>
      </c>
      <c r="F5" s="9">
        <f t="shared" si="8"/>
        <v>6122.9000000000005</v>
      </c>
      <c r="G5" s="9">
        <f t="shared" si="8"/>
        <v>3903.5</v>
      </c>
      <c r="H5" s="9">
        <f t="shared" si="8"/>
        <v>5606.5000000000009</v>
      </c>
      <c r="I5" s="9">
        <f t="shared" si="8"/>
        <v>5942.6</v>
      </c>
      <c r="J5" s="9">
        <f t="shared" si="8"/>
        <v>7125.4</v>
      </c>
      <c r="K5" s="9">
        <f t="shared" ref="K5" si="9">K3-K4</f>
        <v>7378</v>
      </c>
      <c r="L5" s="9">
        <f t="shared" ref="L5:N5" si="10">L3-L4</f>
        <v>7820</v>
      </c>
      <c r="M5" s="9">
        <f t="shared" ref="M5:O5" si="11">M3-M4</f>
        <v>7730</v>
      </c>
      <c r="N5" s="9">
        <f t="shared" si="10"/>
        <v>7197</v>
      </c>
      <c r="O5" s="9">
        <f t="shared" si="11"/>
        <v>6708</v>
      </c>
      <c r="P5" s="9">
        <f>P3*0.73</f>
        <v>5989.628099999999</v>
      </c>
      <c r="R5" s="9">
        <f>R3-R4</f>
        <v>10198.200000000001</v>
      </c>
      <c r="S5" s="9">
        <f>S3-S4</f>
        <v>11775</v>
      </c>
      <c r="T5" s="9">
        <f>T3-T4</f>
        <v>9510</v>
      </c>
      <c r="U5" s="9">
        <f>U3-U4</f>
        <v>13068</v>
      </c>
      <c r="V5" s="9">
        <f t="shared" ref="V5:W5" si="12">V3-V4</f>
        <v>15198</v>
      </c>
      <c r="W5" s="9">
        <f t="shared" si="12"/>
        <v>14927</v>
      </c>
      <c r="X5" s="9">
        <f t="shared" ref="V5:AD5" si="13">X3*0.74</f>
        <v>12744.997800000001</v>
      </c>
      <c r="Y5" s="9">
        <f t="shared" si="13"/>
        <v>13382.24769</v>
      </c>
      <c r="Z5" s="9">
        <f t="shared" si="13"/>
        <v>13917.537597600001</v>
      </c>
      <c r="AA5" s="9">
        <f t="shared" si="13"/>
        <v>14335.063725528002</v>
      </c>
      <c r="AB5" s="9">
        <f t="shared" si="13"/>
        <v>14621.765000038562</v>
      </c>
      <c r="AC5" s="9">
        <f t="shared" si="13"/>
        <v>14914.200300039336</v>
      </c>
      <c r="AD5" s="9">
        <f t="shared" si="13"/>
        <v>15212.484306040122</v>
      </c>
      <c r="AE5" s="9">
        <f t="shared" ref="AE5:AI5" si="14">AE3*0.74</f>
        <v>15516.733992160922</v>
      </c>
      <c r="AF5" s="9">
        <f t="shared" si="14"/>
        <v>15827.068672004141</v>
      </c>
      <c r="AG5" s="9">
        <f t="shared" si="14"/>
        <v>16143.610045444224</v>
      </c>
      <c r="AH5" s="9">
        <f t="shared" si="14"/>
        <v>16466.482246353109</v>
      </c>
      <c r="AI5" s="9">
        <f t="shared" si="14"/>
        <v>16795.811891280173</v>
      </c>
    </row>
    <row r="6" spans="2:161" x14ac:dyDescent="0.3">
      <c r="B6" t="s">
        <v>20</v>
      </c>
      <c r="C6" s="5">
        <v>1012.7</v>
      </c>
      <c r="D6" s="5">
        <f>R6-C6</f>
        <v>1067.7</v>
      </c>
      <c r="E6" s="5">
        <v>1140.5</v>
      </c>
      <c r="F6" s="5">
        <f>S6-E6</f>
        <v>1150.3000000000002</v>
      </c>
      <c r="G6" s="5">
        <v>1026.7</v>
      </c>
      <c r="H6" s="5">
        <f>2070-G6</f>
        <v>1043.3</v>
      </c>
      <c r="I6" s="5">
        <v>1162.5</v>
      </c>
      <c r="J6" s="11">
        <f>U6-I6</f>
        <v>1281.5</v>
      </c>
      <c r="K6" s="5">
        <v>1376</v>
      </c>
      <c r="L6" s="11">
        <f>V6-K6</f>
        <v>1454</v>
      </c>
      <c r="M6" s="5">
        <v>1505</v>
      </c>
      <c r="N6" s="11">
        <f>W6-M6</f>
        <v>1477</v>
      </c>
      <c r="O6" s="5">
        <v>1547</v>
      </c>
      <c r="P6" s="5">
        <f>N6*1.02</f>
        <v>1506.54</v>
      </c>
      <c r="R6" s="5">
        <v>2080.4</v>
      </c>
      <c r="S6" s="5">
        <v>2290.8000000000002</v>
      </c>
      <c r="T6" s="5">
        <f>SUM(G6:H6)</f>
        <v>2070</v>
      </c>
      <c r="U6" s="5">
        <v>2444</v>
      </c>
      <c r="V6" s="5">
        <v>2830</v>
      </c>
      <c r="W6" s="5">
        <v>2982</v>
      </c>
      <c r="X6" s="11">
        <f>SUM(O6:P6)</f>
        <v>3053.54</v>
      </c>
      <c r="Y6" s="5">
        <f>X6*1.02</f>
        <v>3114.6107999999999</v>
      </c>
      <c r="Z6" s="5">
        <f t="shared" ref="Z6:AI6" si="15">Y6*1.02</f>
        <v>3176.9030160000002</v>
      </c>
      <c r="AA6" s="5">
        <f t="shared" si="15"/>
        <v>3240.4410763200003</v>
      </c>
      <c r="AB6" s="5">
        <f t="shared" si="15"/>
        <v>3305.2498978464005</v>
      </c>
      <c r="AC6" s="5">
        <f t="shared" si="15"/>
        <v>3371.3548958033284</v>
      </c>
      <c r="AD6" s="5">
        <f t="shared" si="15"/>
        <v>3438.7819937193949</v>
      </c>
      <c r="AE6" s="5">
        <f t="shared" si="15"/>
        <v>3507.5576335937831</v>
      </c>
      <c r="AF6" s="5">
        <f t="shared" si="15"/>
        <v>3577.708786265659</v>
      </c>
      <c r="AG6" s="5">
        <f t="shared" si="15"/>
        <v>3649.2629619909721</v>
      </c>
      <c r="AH6" s="5">
        <f t="shared" si="15"/>
        <v>3722.2482212307918</v>
      </c>
      <c r="AI6" s="5">
        <f t="shared" si="15"/>
        <v>3796.6931856554079</v>
      </c>
    </row>
    <row r="7" spans="2:161" x14ac:dyDescent="0.3">
      <c r="B7" t="s">
        <v>21</v>
      </c>
      <c r="C7" s="5">
        <f>1991.7+39.6</f>
        <v>2031.3</v>
      </c>
      <c r="D7" s="5">
        <f>R7-C7</f>
        <v>2365.0999999999995</v>
      </c>
      <c r="E7" s="5">
        <f>2258.9+42.2</f>
        <v>2301.1</v>
      </c>
      <c r="F7" s="5">
        <f>S7-E7</f>
        <v>2573.2999999999997</v>
      </c>
      <c r="G7" s="5">
        <f>1924.4+319.6</f>
        <v>2244</v>
      </c>
      <c r="H7" s="5">
        <f>4304.4-G7</f>
        <v>2060.3999999999996</v>
      </c>
      <c r="I7" s="5">
        <v>2543.1</v>
      </c>
      <c r="J7" s="11">
        <f>U7-I7</f>
        <v>3063.9</v>
      </c>
      <c r="K7" s="5">
        <v>3182</v>
      </c>
      <c r="L7" s="11">
        <f>V7-K7</f>
        <v>3597</v>
      </c>
      <c r="M7" s="5">
        <v>3486</v>
      </c>
      <c r="N7" s="11">
        <f>W7-M7</f>
        <v>3713</v>
      </c>
      <c r="O7" s="5">
        <v>3579</v>
      </c>
      <c r="P7" s="5">
        <f>N7*1.03</f>
        <v>3824.39</v>
      </c>
      <c r="R7" s="5">
        <f>4174+222.4</f>
        <v>4396.3999999999996</v>
      </c>
      <c r="S7" s="5">
        <f>4705.9+168.5</f>
        <v>4874.3999999999996</v>
      </c>
      <c r="T7" s="5">
        <f>SUM(G7:H7)</f>
        <v>4304.3999999999996</v>
      </c>
      <c r="U7" s="5">
        <v>5607</v>
      </c>
      <c r="V7" s="5">
        <v>6779</v>
      </c>
      <c r="W7" s="5">
        <v>7199</v>
      </c>
      <c r="X7" s="11">
        <f>SUM(O7:P7)</f>
        <v>7403.3899999999994</v>
      </c>
      <c r="Y7" s="5">
        <f>X7*1.02</f>
        <v>7551.4577999999992</v>
      </c>
      <c r="Z7" s="5">
        <f t="shared" ref="Z7:AI7" si="16">Y7*1.02</f>
        <v>7702.4869559999997</v>
      </c>
      <c r="AA7" s="5">
        <f t="shared" si="16"/>
        <v>7856.5366951199994</v>
      </c>
      <c r="AB7" s="5">
        <f t="shared" si="16"/>
        <v>8013.6674290223991</v>
      </c>
      <c r="AC7" s="5">
        <f t="shared" si="16"/>
        <v>8173.9407776028474</v>
      </c>
      <c r="AD7" s="5">
        <f>AC7*1.01</f>
        <v>8255.6801853788766</v>
      </c>
      <c r="AE7" s="5">
        <f t="shared" ref="AE7:AI7" si="17">AD7*1.01</f>
        <v>8338.2369872326653</v>
      </c>
      <c r="AF7" s="5">
        <f t="shared" si="17"/>
        <v>8421.6193571049916</v>
      </c>
      <c r="AG7" s="5">
        <f t="shared" si="17"/>
        <v>8505.8355506760417</v>
      </c>
      <c r="AH7" s="5">
        <f t="shared" si="17"/>
        <v>8590.8939061828023</v>
      </c>
      <c r="AI7" s="5">
        <f t="shared" si="17"/>
        <v>8676.8028452446306</v>
      </c>
    </row>
    <row r="8" spans="2:161" s="1" customFormat="1" x14ac:dyDescent="0.3">
      <c r="B8" s="1" t="s">
        <v>22</v>
      </c>
      <c r="C8" s="9">
        <f t="shared" ref="C8:K8" si="18">C5-C6-C7</f>
        <v>1732.0000000000002</v>
      </c>
      <c r="D8" s="9">
        <f t="shared" si="18"/>
        <v>1989.4000000000015</v>
      </c>
      <c r="E8" s="9">
        <f t="shared" si="18"/>
        <v>2210.4999999999995</v>
      </c>
      <c r="F8" s="9">
        <f t="shared" si="18"/>
        <v>2399.3000000000006</v>
      </c>
      <c r="G8" s="9">
        <f t="shared" si="18"/>
        <v>632.80000000000018</v>
      </c>
      <c r="H8" s="9">
        <f t="shared" si="18"/>
        <v>2502.8000000000011</v>
      </c>
      <c r="I8" s="9">
        <f t="shared" si="18"/>
        <v>2237.0000000000005</v>
      </c>
      <c r="J8" s="9">
        <f t="shared" si="18"/>
        <v>2779.9999999999995</v>
      </c>
      <c r="K8" s="9">
        <f t="shared" si="18"/>
        <v>2820</v>
      </c>
      <c r="L8" s="9">
        <f t="shared" ref="L8:N8" si="19">L5-L6-L7</f>
        <v>2769</v>
      </c>
      <c r="M8" s="9">
        <f t="shared" ref="M8:P8" si="20">M5-M6-M7</f>
        <v>2739</v>
      </c>
      <c r="N8" s="9">
        <f t="shared" si="19"/>
        <v>2007</v>
      </c>
      <c r="O8" s="9">
        <f t="shared" si="20"/>
        <v>1582</v>
      </c>
      <c r="P8" s="9">
        <f t="shared" si="20"/>
        <v>658.69809999999916</v>
      </c>
      <c r="R8" s="9">
        <f>R5-R6-R7</f>
        <v>3721.4000000000015</v>
      </c>
      <c r="S8" s="9">
        <f>S5-S6-S7</f>
        <v>4609.8000000000011</v>
      </c>
      <c r="T8" s="9">
        <f>T5-T6-T7</f>
        <v>3135.6000000000004</v>
      </c>
      <c r="U8" s="9">
        <f t="shared" ref="U8:AD8" si="21">U5-U6-U7</f>
        <v>5017</v>
      </c>
      <c r="V8" s="9">
        <f t="shared" si="21"/>
        <v>5589</v>
      </c>
      <c r="W8" s="9">
        <f t="shared" si="21"/>
        <v>4746</v>
      </c>
      <c r="X8" s="9">
        <f t="shared" si="21"/>
        <v>2288.0678000000007</v>
      </c>
      <c r="Y8" s="9">
        <f t="shared" si="21"/>
        <v>2716.1790900000005</v>
      </c>
      <c r="Z8" s="9">
        <f t="shared" si="21"/>
        <v>3038.1476256000014</v>
      </c>
      <c r="AA8" s="9">
        <f t="shared" si="21"/>
        <v>3238.0859540880028</v>
      </c>
      <c r="AB8" s="9">
        <f t="shared" si="21"/>
        <v>3302.8476731697619</v>
      </c>
      <c r="AC8" s="9">
        <f t="shared" si="21"/>
        <v>3368.9046266331607</v>
      </c>
      <c r="AD8" s="9">
        <f t="shared" si="21"/>
        <v>3518.0221269418507</v>
      </c>
      <c r="AE8" s="9">
        <f t="shared" ref="AE8:AI8" si="22">AE5-AE6-AE7</f>
        <v>3670.9393713344743</v>
      </c>
      <c r="AF8" s="9">
        <f t="shared" si="22"/>
        <v>3827.7405286334906</v>
      </c>
      <c r="AG8" s="9">
        <f t="shared" si="22"/>
        <v>3988.511532777211</v>
      </c>
      <c r="AH8" s="9">
        <f t="shared" si="22"/>
        <v>4153.3401189395154</v>
      </c>
      <c r="AI8" s="9">
        <f t="shared" si="22"/>
        <v>4322.3158603801348</v>
      </c>
    </row>
    <row r="9" spans="2:161" x14ac:dyDescent="0.3">
      <c r="B9" t="s">
        <v>28</v>
      </c>
      <c r="C9" s="5">
        <v>97.1</v>
      </c>
      <c r="D9" s="5">
        <f>R9-C9</f>
        <v>110.20000000000002</v>
      </c>
      <c r="E9" s="5">
        <v>133.69999999999999</v>
      </c>
      <c r="F9" s="5">
        <f>S9-E9</f>
        <v>175.8</v>
      </c>
      <c r="G9" s="5">
        <v>144.9</v>
      </c>
      <c r="H9" s="5">
        <f>341.7-G9-163</f>
        <v>33.799999999999983</v>
      </c>
      <c r="I9" s="5">
        <f>17.3+125.6</f>
        <v>142.9</v>
      </c>
      <c r="J9" s="11">
        <f>U9-I9</f>
        <v>350.1</v>
      </c>
      <c r="K9" s="5">
        <f>13+19</f>
        <v>32</v>
      </c>
      <c r="L9" s="11">
        <f>V9-K9</f>
        <v>422</v>
      </c>
      <c r="M9" s="5">
        <v>204</v>
      </c>
      <c r="N9" s="11">
        <f>W9-M9</f>
        <v>309</v>
      </c>
      <c r="O9" s="5">
        <f>13+288</f>
        <v>301</v>
      </c>
      <c r="P9" s="5">
        <v>300</v>
      </c>
      <c r="R9" s="5">
        <v>207.3</v>
      </c>
      <c r="S9" s="5">
        <v>309.5</v>
      </c>
      <c r="T9" s="5">
        <f>SUM(G9:H9)</f>
        <v>178.7</v>
      </c>
      <c r="U9" s="5">
        <f>220+273</f>
        <v>493</v>
      </c>
      <c r="V9" s="5">
        <f>194+260</f>
        <v>454</v>
      </c>
      <c r="W9" s="5">
        <f>103+410</f>
        <v>513</v>
      </c>
      <c r="X9" s="11">
        <f>SUM(O9:P9)</f>
        <v>601</v>
      </c>
      <c r="Y9" s="5">
        <f>X9*1.01</f>
        <v>607.01</v>
      </c>
      <c r="Z9" s="5">
        <f t="shared" ref="Z9:AI9" si="23">Y9*1.01</f>
        <v>613.08010000000002</v>
      </c>
      <c r="AA9" s="5">
        <f t="shared" si="23"/>
        <v>619.21090100000004</v>
      </c>
      <c r="AB9" s="5">
        <f t="shared" si="23"/>
        <v>625.40301001</v>
      </c>
      <c r="AC9" s="5">
        <f t="shared" si="23"/>
        <v>631.65704011009996</v>
      </c>
      <c r="AD9" s="5">
        <f t="shared" si="23"/>
        <v>637.97361051120095</v>
      </c>
      <c r="AE9" s="5">
        <f t="shared" si="23"/>
        <v>644.35334661631293</v>
      </c>
      <c r="AF9" s="5">
        <f t="shared" si="23"/>
        <v>650.79688008247604</v>
      </c>
      <c r="AG9" s="5">
        <f t="shared" si="23"/>
        <v>657.30484888330079</v>
      </c>
      <c r="AH9" s="5">
        <f t="shared" si="23"/>
        <v>663.87789737213382</v>
      </c>
      <c r="AI9" s="5">
        <f t="shared" si="23"/>
        <v>670.51667634585522</v>
      </c>
    </row>
    <row r="10" spans="2:161" s="1" customFormat="1" x14ac:dyDescent="0.3">
      <c r="B10" s="1" t="s">
        <v>25</v>
      </c>
      <c r="C10" s="9">
        <f t="shared" ref="C10:K10" si="24">C8-C9</f>
        <v>1634.9000000000003</v>
      </c>
      <c r="D10" s="9">
        <f t="shared" si="24"/>
        <v>1879.2000000000014</v>
      </c>
      <c r="E10" s="9">
        <f t="shared" si="24"/>
        <v>2076.7999999999997</v>
      </c>
      <c r="F10" s="9">
        <f t="shared" si="24"/>
        <v>2223.5000000000005</v>
      </c>
      <c r="G10" s="9">
        <f t="shared" si="24"/>
        <v>487.9000000000002</v>
      </c>
      <c r="H10" s="9">
        <f t="shared" si="24"/>
        <v>2469.0000000000009</v>
      </c>
      <c r="I10" s="9">
        <f t="shared" si="24"/>
        <v>2094.1000000000004</v>
      </c>
      <c r="J10" s="9">
        <f t="shared" si="24"/>
        <v>2429.8999999999996</v>
      </c>
      <c r="K10" s="9">
        <f t="shared" si="24"/>
        <v>2788</v>
      </c>
      <c r="L10" s="9">
        <f t="shared" ref="L10:N10" si="25">L8-L9</f>
        <v>2347</v>
      </c>
      <c r="M10" s="9">
        <f t="shared" ref="M10:P10" si="26">M8-M9</f>
        <v>2535</v>
      </c>
      <c r="N10" s="9">
        <f t="shared" si="25"/>
        <v>1698</v>
      </c>
      <c r="O10" s="9">
        <f t="shared" si="26"/>
        <v>1281</v>
      </c>
      <c r="P10" s="9">
        <f t="shared" si="26"/>
        <v>358.69809999999916</v>
      </c>
      <c r="R10" s="9">
        <f>R8-R9</f>
        <v>3514.1000000000013</v>
      </c>
      <c r="S10" s="9">
        <f>S8-S9</f>
        <v>4300.3000000000011</v>
      </c>
      <c r="T10" s="9">
        <f>T8-T9</f>
        <v>2956.9000000000005</v>
      </c>
      <c r="U10" s="9">
        <f t="shared" ref="U10:AD10" si="27">U8-U9</f>
        <v>4524</v>
      </c>
      <c r="V10" s="9">
        <f t="shared" si="27"/>
        <v>5135</v>
      </c>
      <c r="W10" s="9">
        <f t="shared" si="27"/>
        <v>4233</v>
      </c>
      <c r="X10" s="9">
        <f t="shared" si="27"/>
        <v>1687.0678000000007</v>
      </c>
      <c r="Y10" s="9">
        <f t="shared" si="27"/>
        <v>2109.1690900000003</v>
      </c>
      <c r="Z10" s="9">
        <f t="shared" si="27"/>
        <v>2425.0675256000013</v>
      </c>
      <c r="AA10" s="9">
        <f t="shared" si="27"/>
        <v>2618.8750530880029</v>
      </c>
      <c r="AB10" s="9">
        <f t="shared" si="27"/>
        <v>2677.4446631597621</v>
      </c>
      <c r="AC10" s="9">
        <f t="shared" si="27"/>
        <v>2737.2475865230608</v>
      </c>
      <c r="AD10" s="9">
        <f t="shared" si="27"/>
        <v>2880.0485164306497</v>
      </c>
      <c r="AE10" s="9">
        <f t="shared" ref="AE10:AI10" si="28">AE8-AE9</f>
        <v>3026.5860247181613</v>
      </c>
      <c r="AF10" s="9">
        <f t="shared" si="28"/>
        <v>3176.9436485510146</v>
      </c>
      <c r="AG10" s="9">
        <f t="shared" si="28"/>
        <v>3331.2066838939099</v>
      </c>
      <c r="AH10" s="9">
        <f t="shared" si="28"/>
        <v>3489.4622215673817</v>
      </c>
      <c r="AI10" s="9">
        <f t="shared" si="28"/>
        <v>3651.7991840342797</v>
      </c>
    </row>
    <row r="11" spans="2:161" x14ac:dyDescent="0.3">
      <c r="B11" t="s">
        <v>23</v>
      </c>
      <c r="C11" s="5">
        <v>385</v>
      </c>
      <c r="D11" s="5">
        <f>R11-C11</f>
        <v>482.70000000000005</v>
      </c>
      <c r="E11" s="5">
        <v>1449.4</v>
      </c>
      <c r="F11" s="5">
        <f>S11-E11</f>
        <v>684.29999999999973</v>
      </c>
      <c r="G11" s="5">
        <v>193.7</v>
      </c>
      <c r="H11" s="5">
        <f>759.2-G11</f>
        <v>565.5</v>
      </c>
      <c r="I11" s="5">
        <v>594.6</v>
      </c>
      <c r="J11" s="11">
        <f>U11-I11</f>
        <v>685.4</v>
      </c>
      <c r="K11" s="5">
        <v>747</v>
      </c>
      <c r="L11" s="11">
        <f>V11-K11</f>
        <v>673</v>
      </c>
      <c r="M11" s="5">
        <v>692</v>
      </c>
      <c r="N11" s="11">
        <f>W11-M11</f>
        <v>471</v>
      </c>
      <c r="O11" s="5">
        <v>345</v>
      </c>
      <c r="P11" s="5">
        <f>P10*0.27</f>
        <v>96.848486999999778</v>
      </c>
      <c r="R11" s="5">
        <v>867.7</v>
      </c>
      <c r="S11" s="5">
        <v>2133.6999999999998</v>
      </c>
      <c r="T11" s="5">
        <f>SUM(G11:H11)</f>
        <v>759.2</v>
      </c>
      <c r="U11" s="5">
        <v>1280</v>
      </c>
      <c r="V11" s="5">
        <v>1420</v>
      </c>
      <c r="W11" s="5">
        <v>1163</v>
      </c>
      <c r="X11" s="11">
        <f>SUM(O11:P11)</f>
        <v>441.84848699999975</v>
      </c>
      <c r="Y11" s="5">
        <f>Y10*0.26</f>
        <v>548.38396340000008</v>
      </c>
      <c r="Z11" s="5">
        <f t="shared" ref="Z11:AI11" si="29">Z10*0.26</f>
        <v>630.51755665600035</v>
      </c>
      <c r="AA11" s="5">
        <f t="shared" si="29"/>
        <v>680.90751380288077</v>
      </c>
      <c r="AB11" s="5">
        <f t="shared" si="29"/>
        <v>696.13561242153821</v>
      </c>
      <c r="AC11" s="5">
        <f t="shared" si="29"/>
        <v>711.68437249599583</v>
      </c>
      <c r="AD11" s="5">
        <f t="shared" si="29"/>
        <v>748.81261427196898</v>
      </c>
      <c r="AE11" s="5">
        <f t="shared" si="29"/>
        <v>786.91236642672197</v>
      </c>
      <c r="AF11" s="5">
        <f t="shared" si="29"/>
        <v>826.00534862326379</v>
      </c>
      <c r="AG11" s="5">
        <f t="shared" si="29"/>
        <v>866.11373781241662</v>
      </c>
      <c r="AH11" s="5">
        <f t="shared" si="29"/>
        <v>907.26017760751927</v>
      </c>
      <c r="AI11" s="5">
        <f t="shared" si="29"/>
        <v>949.46778784891274</v>
      </c>
    </row>
    <row r="12" spans="2:161" x14ac:dyDescent="0.3">
      <c r="B12" t="s">
        <v>24</v>
      </c>
      <c r="C12" s="5">
        <f>3+18.3</f>
        <v>21.3</v>
      </c>
      <c r="D12" s="5">
        <f>R12-C12</f>
        <v>-5.5000000000000018</v>
      </c>
      <c r="E12" s="5">
        <f>-20.7+24.7</f>
        <v>4</v>
      </c>
      <c r="F12" s="5">
        <f>S12-E12</f>
        <v>-4.2999999999999972</v>
      </c>
      <c r="G12" s="5">
        <f>7.8+2.6</f>
        <v>10.4</v>
      </c>
      <c r="H12" s="5">
        <f>29.5+7.6-G12</f>
        <v>26.700000000000003</v>
      </c>
      <c r="I12" s="5">
        <v>-0.9</v>
      </c>
      <c r="J12" s="11">
        <f>U12-I12</f>
        <v>-9.9999999999999978E-2</v>
      </c>
      <c r="K12" s="5">
        <v>-2</v>
      </c>
      <c r="L12" s="11">
        <f>V12-K12</f>
        <v>0</v>
      </c>
      <c r="M12" s="5">
        <v>-3</v>
      </c>
      <c r="N12" s="11">
        <f>W12-M12</f>
        <v>-1</v>
      </c>
      <c r="O12" s="5">
        <v>-4</v>
      </c>
      <c r="P12" s="5">
        <v>0</v>
      </c>
      <c r="R12" s="5">
        <f>-11.9+27.7</f>
        <v>15.799999999999999</v>
      </c>
      <c r="S12" s="5">
        <f>-41.8+41.5</f>
        <v>-0.29999999999999716</v>
      </c>
      <c r="T12" s="5">
        <f>SUM(G12:H12)</f>
        <v>37.1</v>
      </c>
      <c r="U12" s="5">
        <v>-1</v>
      </c>
      <c r="V12" s="5">
        <v>-2</v>
      </c>
      <c r="W12" s="5">
        <v>-4</v>
      </c>
      <c r="X12" s="11">
        <f>SUM(O12:P12)</f>
        <v>-4</v>
      </c>
      <c r="Y12" s="5">
        <f t="shared" ref="W12:AD12" si="30">X12*1.01</f>
        <v>-4.04</v>
      </c>
      <c r="Z12" s="5">
        <f t="shared" si="30"/>
        <v>-4.0804</v>
      </c>
      <c r="AA12" s="5">
        <f t="shared" si="30"/>
        <v>-4.1212039999999996</v>
      </c>
      <c r="AB12" s="5">
        <f t="shared" si="30"/>
        <v>-4.1624160400000001</v>
      </c>
      <c r="AC12" s="5">
        <f t="shared" si="30"/>
        <v>-4.2040402003999997</v>
      </c>
      <c r="AD12" s="5">
        <f t="shared" si="30"/>
        <v>-4.2460806024039996</v>
      </c>
      <c r="AE12" s="5">
        <f t="shared" ref="AE12" si="31">AD12*1.01</f>
        <v>-4.2885414084280393</v>
      </c>
      <c r="AF12" s="5">
        <f t="shared" ref="AF12" si="32">AE12*1.01</f>
        <v>-4.33142682251232</v>
      </c>
      <c r="AG12" s="5">
        <f t="shared" ref="AG12" si="33">AF12*1.01</f>
        <v>-4.3747410907374435</v>
      </c>
      <c r="AH12" s="5">
        <f t="shared" ref="AH12" si="34">AG12*1.01</f>
        <v>-4.4184885016448181</v>
      </c>
      <c r="AI12" s="5">
        <f t="shared" ref="AI12" si="35">AH12*1.01</f>
        <v>-4.4626733866612662</v>
      </c>
    </row>
    <row r="13" spans="2:161" s="1" customFormat="1" x14ac:dyDescent="0.3">
      <c r="B13" s="1" t="s">
        <v>26</v>
      </c>
      <c r="C13" s="9">
        <f t="shared" ref="C13:H13" si="36">C10-C11-C12</f>
        <v>1228.6000000000004</v>
      </c>
      <c r="D13" s="9">
        <f t="shared" si="36"/>
        <v>1402.0000000000014</v>
      </c>
      <c r="E13" s="9">
        <f t="shared" si="36"/>
        <v>623.39999999999964</v>
      </c>
      <c r="F13" s="9">
        <f t="shared" si="36"/>
        <v>1543.5000000000007</v>
      </c>
      <c r="G13" s="9">
        <f t="shared" si="36"/>
        <v>283.80000000000024</v>
      </c>
      <c r="H13" s="9">
        <f t="shared" si="36"/>
        <v>1876.8000000000009</v>
      </c>
      <c r="I13" s="9">
        <f t="shared" ref="I13:K13" si="37">I10-I11-I12</f>
        <v>1500.4000000000005</v>
      </c>
      <c r="J13" s="9">
        <f t="shared" si="37"/>
        <v>1744.5999999999995</v>
      </c>
      <c r="K13" s="9">
        <f t="shared" si="37"/>
        <v>2043</v>
      </c>
      <c r="L13" s="9">
        <f t="shared" ref="L13:N13" si="38">L10-L11-L12</f>
        <v>1674</v>
      </c>
      <c r="M13" s="9">
        <f t="shared" ref="M13:O13" si="39">M10-M11-M12</f>
        <v>1846</v>
      </c>
      <c r="N13" s="9">
        <f t="shared" si="38"/>
        <v>1228</v>
      </c>
      <c r="O13" s="9">
        <f t="shared" si="39"/>
        <v>940</v>
      </c>
      <c r="P13" s="9">
        <f t="shared" ref="P13" si="40">P10-P11-P12</f>
        <v>261.84961299999941</v>
      </c>
      <c r="R13" s="9">
        <f>R10-R11-R12</f>
        <v>2630.6000000000013</v>
      </c>
      <c r="S13" s="9">
        <f>S10-S11-S12</f>
        <v>2166.9000000000015</v>
      </c>
      <c r="T13" s="9">
        <f>T10-T11-T12</f>
        <v>2160.6000000000008</v>
      </c>
      <c r="U13" s="9">
        <f t="shared" ref="U13:AD13" si="41">U10-U11-U12</f>
        <v>3245</v>
      </c>
      <c r="V13" s="9">
        <f t="shared" si="41"/>
        <v>3717</v>
      </c>
      <c r="W13" s="9">
        <f t="shared" si="41"/>
        <v>3074</v>
      </c>
      <c r="X13" s="9">
        <f t="shared" si="41"/>
        <v>1249.219313000001</v>
      </c>
      <c r="Y13" s="9">
        <f t="shared" si="41"/>
        <v>1564.8251266000002</v>
      </c>
      <c r="Z13" s="9">
        <f t="shared" si="41"/>
        <v>1798.630368944001</v>
      </c>
      <c r="AA13" s="9">
        <f t="shared" si="41"/>
        <v>1942.0887432851223</v>
      </c>
      <c r="AB13" s="9">
        <f t="shared" si="41"/>
        <v>1985.4714667782239</v>
      </c>
      <c r="AC13" s="9">
        <f t="shared" si="41"/>
        <v>2029.7672542274649</v>
      </c>
      <c r="AD13" s="9">
        <f t="shared" si="41"/>
        <v>2135.481982761085</v>
      </c>
      <c r="AE13" s="9">
        <f t="shared" ref="AE13:AI13" si="42">AE10-AE11-AE12</f>
        <v>2243.9621996998671</v>
      </c>
      <c r="AF13" s="9">
        <f t="shared" si="42"/>
        <v>2355.2697267502631</v>
      </c>
      <c r="AG13" s="9">
        <f t="shared" si="42"/>
        <v>2469.4676871722309</v>
      </c>
      <c r="AH13" s="9">
        <f t="shared" si="42"/>
        <v>2586.6205324615071</v>
      </c>
      <c r="AI13" s="9">
        <f t="shared" si="42"/>
        <v>2706.7940695720281</v>
      </c>
      <c r="AJ13" s="1">
        <f>AI13*(1+$AL$19)</f>
        <v>2679.7261288763079</v>
      </c>
      <c r="AK13" s="1">
        <f t="shared" ref="AK13:CV13" si="43">AJ13*(1+$AL$19)</f>
        <v>2652.928867587545</v>
      </c>
      <c r="AL13" s="1">
        <f t="shared" si="43"/>
        <v>2626.3995789116698</v>
      </c>
      <c r="AM13" s="1">
        <f t="shared" si="43"/>
        <v>2600.1355831225533</v>
      </c>
      <c r="AN13" s="1">
        <f t="shared" si="43"/>
        <v>2574.1342272913275</v>
      </c>
      <c r="AO13" s="1">
        <f t="shared" si="43"/>
        <v>2548.3928850184143</v>
      </c>
      <c r="AP13" s="1">
        <f t="shared" si="43"/>
        <v>2522.9089561682299</v>
      </c>
      <c r="AQ13" s="1">
        <f t="shared" si="43"/>
        <v>2497.6798666065474</v>
      </c>
      <c r="AR13" s="1">
        <f t="shared" si="43"/>
        <v>2472.703067940482</v>
      </c>
      <c r="AS13" s="1">
        <f t="shared" si="43"/>
        <v>2447.9760372610772</v>
      </c>
      <c r="AT13" s="1">
        <f t="shared" si="43"/>
        <v>2423.4962768884666</v>
      </c>
      <c r="AU13" s="1">
        <f t="shared" si="43"/>
        <v>2399.261314119582</v>
      </c>
      <c r="AV13" s="1">
        <f t="shared" si="43"/>
        <v>2375.2687009783863</v>
      </c>
      <c r="AW13" s="1">
        <f t="shared" si="43"/>
        <v>2351.5160139686022</v>
      </c>
      <c r="AX13" s="1">
        <f t="shared" si="43"/>
        <v>2328.0008538289162</v>
      </c>
      <c r="AY13" s="1">
        <f t="shared" si="43"/>
        <v>2304.720845290627</v>
      </c>
      <c r="AZ13" s="1">
        <f t="shared" si="43"/>
        <v>2281.6736368377206</v>
      </c>
      <c r="BA13" s="1">
        <f t="shared" si="43"/>
        <v>2258.8569004693431</v>
      </c>
      <c r="BB13" s="1">
        <f t="shared" si="43"/>
        <v>2236.2683314646497</v>
      </c>
      <c r="BC13" s="1">
        <f t="shared" si="43"/>
        <v>2213.9056481500033</v>
      </c>
      <c r="BD13" s="1">
        <f t="shared" si="43"/>
        <v>2191.7665916685032</v>
      </c>
      <c r="BE13" s="1">
        <f t="shared" si="43"/>
        <v>2169.8489257518181</v>
      </c>
      <c r="BF13" s="1">
        <f t="shared" si="43"/>
        <v>2148.1504364942998</v>
      </c>
      <c r="BG13" s="1">
        <f t="shared" si="43"/>
        <v>2126.668932129357</v>
      </c>
      <c r="BH13" s="1">
        <f t="shared" si="43"/>
        <v>2105.4022428080634</v>
      </c>
      <c r="BI13" s="1">
        <f t="shared" si="43"/>
        <v>2084.3482203799826</v>
      </c>
      <c r="BJ13" s="1">
        <f t="shared" si="43"/>
        <v>2063.5047381761829</v>
      </c>
      <c r="BK13" s="1">
        <f t="shared" si="43"/>
        <v>2042.8696907944211</v>
      </c>
      <c r="BL13" s="1">
        <f t="shared" si="43"/>
        <v>2022.4409938864769</v>
      </c>
      <c r="BM13" s="1">
        <f t="shared" si="43"/>
        <v>2002.2165839476122</v>
      </c>
      <c r="BN13" s="1">
        <f t="shared" si="43"/>
        <v>1982.194418108136</v>
      </c>
      <c r="BO13" s="1">
        <f t="shared" si="43"/>
        <v>1962.3724739270547</v>
      </c>
      <c r="BP13" s="1">
        <f t="shared" si="43"/>
        <v>1942.7487491877841</v>
      </c>
      <c r="BQ13" s="1">
        <f t="shared" si="43"/>
        <v>1923.3212616959063</v>
      </c>
      <c r="BR13" s="1">
        <f t="shared" si="43"/>
        <v>1904.0880490789473</v>
      </c>
      <c r="BS13" s="1">
        <f t="shared" si="43"/>
        <v>1885.0471685881578</v>
      </c>
      <c r="BT13" s="1">
        <f t="shared" si="43"/>
        <v>1866.1966969022762</v>
      </c>
      <c r="BU13" s="1">
        <f t="shared" si="43"/>
        <v>1847.5347299332534</v>
      </c>
      <c r="BV13" s="1">
        <f t="shared" si="43"/>
        <v>1829.0593826339209</v>
      </c>
      <c r="BW13" s="1">
        <f t="shared" si="43"/>
        <v>1810.7687888075816</v>
      </c>
      <c r="BX13" s="1">
        <f t="shared" si="43"/>
        <v>1792.6611009195058</v>
      </c>
      <c r="BY13" s="1">
        <f t="shared" si="43"/>
        <v>1774.7344899103107</v>
      </c>
      <c r="BZ13" s="1">
        <f t="shared" si="43"/>
        <v>1756.9871450112075</v>
      </c>
      <c r="CA13" s="1">
        <f t="shared" si="43"/>
        <v>1739.4172735610955</v>
      </c>
      <c r="CB13" s="1">
        <f t="shared" si="43"/>
        <v>1722.0231008254846</v>
      </c>
      <c r="CC13" s="1">
        <f t="shared" si="43"/>
        <v>1704.8028698172297</v>
      </c>
      <c r="CD13" s="1">
        <f t="shared" si="43"/>
        <v>1687.7548411190573</v>
      </c>
      <c r="CE13" s="1">
        <f t="shared" si="43"/>
        <v>1670.8772927078667</v>
      </c>
      <c r="CF13" s="1">
        <f t="shared" si="43"/>
        <v>1654.1685197807881</v>
      </c>
      <c r="CG13" s="1">
        <f t="shared" si="43"/>
        <v>1637.6268345829801</v>
      </c>
      <c r="CH13" s="1">
        <f t="shared" si="43"/>
        <v>1621.2505662371502</v>
      </c>
      <c r="CI13" s="1">
        <f t="shared" si="43"/>
        <v>1605.0380605747787</v>
      </c>
      <c r="CJ13" s="1">
        <f t="shared" si="43"/>
        <v>1588.987679969031</v>
      </c>
      <c r="CK13" s="1">
        <f t="shared" si="43"/>
        <v>1573.0978031693408</v>
      </c>
      <c r="CL13" s="1">
        <f t="shared" si="43"/>
        <v>1557.3668251376473</v>
      </c>
      <c r="CM13" s="1">
        <f t="shared" si="43"/>
        <v>1541.7931568862709</v>
      </c>
      <c r="CN13" s="1">
        <f t="shared" si="43"/>
        <v>1526.3752253174082</v>
      </c>
      <c r="CO13" s="1">
        <f t="shared" si="43"/>
        <v>1511.1114730642341</v>
      </c>
      <c r="CP13" s="1">
        <f t="shared" si="43"/>
        <v>1496.0003583335917</v>
      </c>
      <c r="CQ13" s="1">
        <f t="shared" si="43"/>
        <v>1481.0403547502558</v>
      </c>
      <c r="CR13" s="1">
        <f t="shared" si="43"/>
        <v>1466.2299512027532</v>
      </c>
      <c r="CS13" s="1">
        <f t="shared" si="43"/>
        <v>1451.5676516907256</v>
      </c>
      <c r="CT13" s="1">
        <f t="shared" si="43"/>
        <v>1437.0519751738184</v>
      </c>
      <c r="CU13" s="1">
        <f t="shared" si="43"/>
        <v>1422.6814554220803</v>
      </c>
      <c r="CV13" s="1">
        <f t="shared" si="43"/>
        <v>1408.4546408678596</v>
      </c>
      <c r="CW13" s="1">
        <f t="shared" ref="CW13:FE13" si="44">CV13*(1+$AL$19)</f>
        <v>1394.370094459181</v>
      </c>
      <c r="CX13" s="1">
        <f t="shared" si="44"/>
        <v>1380.4263935145891</v>
      </c>
      <c r="CY13" s="1">
        <f t="shared" si="44"/>
        <v>1366.6221295794433</v>
      </c>
      <c r="CZ13" s="1">
        <f t="shared" si="44"/>
        <v>1352.9559082836488</v>
      </c>
      <c r="DA13" s="1">
        <f t="shared" si="44"/>
        <v>1339.4263492008122</v>
      </c>
      <c r="DB13" s="1">
        <f t="shared" si="44"/>
        <v>1326.0320857088041</v>
      </c>
      <c r="DC13" s="1">
        <f t="shared" si="44"/>
        <v>1312.7717648517159</v>
      </c>
      <c r="DD13" s="1">
        <f t="shared" si="44"/>
        <v>1299.6440472031989</v>
      </c>
      <c r="DE13" s="1">
        <f t="shared" si="44"/>
        <v>1286.6476067311669</v>
      </c>
      <c r="DF13" s="1">
        <f t="shared" si="44"/>
        <v>1273.7811306638553</v>
      </c>
      <c r="DG13" s="1">
        <f t="shared" si="44"/>
        <v>1261.0433193572167</v>
      </c>
      <c r="DH13" s="1">
        <f t="shared" si="44"/>
        <v>1248.4328861636445</v>
      </c>
      <c r="DI13" s="1">
        <f t="shared" si="44"/>
        <v>1235.9485573020081</v>
      </c>
      <c r="DJ13" s="1">
        <f t="shared" si="44"/>
        <v>1223.5890717289881</v>
      </c>
      <c r="DK13" s="1">
        <f t="shared" si="44"/>
        <v>1211.3531810116981</v>
      </c>
      <c r="DL13" s="1">
        <f t="shared" si="44"/>
        <v>1199.2396492015812</v>
      </c>
      <c r="DM13" s="1">
        <f t="shared" si="44"/>
        <v>1187.2472527095654</v>
      </c>
      <c r="DN13" s="1">
        <f t="shared" si="44"/>
        <v>1175.3747801824697</v>
      </c>
      <c r="DO13" s="1">
        <f t="shared" si="44"/>
        <v>1163.6210323806451</v>
      </c>
      <c r="DP13" s="1">
        <f t="shared" si="44"/>
        <v>1151.9848220568388</v>
      </c>
      <c r="DQ13" s="1">
        <f t="shared" si="44"/>
        <v>1140.4649738362705</v>
      </c>
      <c r="DR13" s="1">
        <f t="shared" si="44"/>
        <v>1129.0603240979078</v>
      </c>
      <c r="DS13" s="1">
        <f t="shared" si="44"/>
        <v>1117.7697208569286</v>
      </c>
      <c r="DT13" s="1">
        <f t="shared" si="44"/>
        <v>1106.5920236483594</v>
      </c>
      <c r="DU13" s="1">
        <f t="shared" si="44"/>
        <v>1095.5261034118757</v>
      </c>
      <c r="DV13" s="1">
        <f t="shared" si="44"/>
        <v>1084.5708423777569</v>
      </c>
      <c r="DW13" s="1">
        <f t="shared" si="44"/>
        <v>1073.7251339539794</v>
      </c>
      <c r="DX13" s="1">
        <f t="shared" si="44"/>
        <v>1062.9878826144395</v>
      </c>
      <c r="DY13" s="1">
        <f t="shared" si="44"/>
        <v>1052.358003788295</v>
      </c>
      <c r="DZ13" s="1">
        <f t="shared" si="44"/>
        <v>1041.834423750412</v>
      </c>
      <c r="EA13" s="1">
        <f t="shared" si="44"/>
        <v>1031.4160795129078</v>
      </c>
      <c r="EB13" s="1">
        <f t="shared" si="44"/>
        <v>1021.1019187177787</v>
      </c>
      <c r="EC13" s="1">
        <f t="shared" si="44"/>
        <v>1010.8908995306009</v>
      </c>
      <c r="ED13" s="1">
        <f t="shared" si="44"/>
        <v>1000.7819905352949</v>
      </c>
      <c r="EE13" s="1">
        <f t="shared" si="44"/>
        <v>990.77417062994198</v>
      </c>
      <c r="EF13" s="1">
        <f t="shared" si="44"/>
        <v>980.8664289236425</v>
      </c>
      <c r="EG13" s="1">
        <f t="shared" si="44"/>
        <v>971.05776463440611</v>
      </c>
      <c r="EH13" s="1">
        <f t="shared" si="44"/>
        <v>961.34718698806205</v>
      </c>
      <c r="EI13" s="1">
        <f t="shared" si="44"/>
        <v>951.73371511818141</v>
      </c>
      <c r="EJ13" s="1">
        <f t="shared" si="44"/>
        <v>942.21637796699963</v>
      </c>
      <c r="EK13" s="1">
        <f t="shared" si="44"/>
        <v>932.79421418732966</v>
      </c>
      <c r="EL13" s="1">
        <f t="shared" si="44"/>
        <v>923.46627204545632</v>
      </c>
      <c r="EM13" s="1">
        <f t="shared" si="44"/>
        <v>914.23160932500173</v>
      </c>
      <c r="EN13" s="1">
        <f t="shared" si="44"/>
        <v>905.08929323175175</v>
      </c>
      <c r="EO13" s="1">
        <f t="shared" si="44"/>
        <v>896.03840029943422</v>
      </c>
      <c r="EP13" s="1">
        <f t="shared" si="44"/>
        <v>887.07801629643984</v>
      </c>
      <c r="EQ13" s="1">
        <f t="shared" si="44"/>
        <v>878.20723613347548</v>
      </c>
      <c r="ER13" s="1">
        <f t="shared" si="44"/>
        <v>869.42516377214076</v>
      </c>
      <c r="ES13" s="1">
        <f t="shared" si="44"/>
        <v>860.73091213441933</v>
      </c>
      <c r="ET13" s="1">
        <f t="shared" si="44"/>
        <v>852.12360301307513</v>
      </c>
      <c r="EU13" s="1">
        <f t="shared" si="44"/>
        <v>843.60236698294432</v>
      </c>
      <c r="EV13" s="1">
        <f t="shared" si="44"/>
        <v>835.16634331311491</v>
      </c>
      <c r="EW13" s="1">
        <f t="shared" si="44"/>
        <v>826.81467987998371</v>
      </c>
      <c r="EX13" s="1">
        <f t="shared" si="44"/>
        <v>818.54653308118384</v>
      </c>
      <c r="EY13" s="1">
        <f t="shared" si="44"/>
        <v>810.36106775037194</v>
      </c>
      <c r="EZ13" s="1">
        <f t="shared" si="44"/>
        <v>802.25745707286819</v>
      </c>
      <c r="FA13" s="1">
        <f t="shared" si="44"/>
        <v>794.2348825021395</v>
      </c>
      <c r="FB13" s="1">
        <f t="shared" si="44"/>
        <v>786.29253367711806</v>
      </c>
      <c r="FC13" s="1">
        <f t="shared" si="44"/>
        <v>778.42960834034682</v>
      </c>
      <c r="FD13" s="1">
        <f t="shared" si="44"/>
        <v>770.64531225694338</v>
      </c>
      <c r="FE13" s="1">
        <f t="shared" si="44"/>
        <v>762.93885913437396</v>
      </c>
    </row>
    <row r="14" spans="2:161" x14ac:dyDescent="0.3">
      <c r="B14" t="s">
        <v>2</v>
      </c>
      <c r="C14" s="5">
        <v>126.3</v>
      </c>
      <c r="D14" s="5">
        <v>126.3</v>
      </c>
      <c r="E14" s="5">
        <v>126.3</v>
      </c>
      <c r="F14" s="5">
        <v>126.3</v>
      </c>
      <c r="G14" s="5">
        <v>126.3</v>
      </c>
      <c r="H14" s="5">
        <v>124.9</v>
      </c>
      <c r="I14" s="5">
        <v>124.9</v>
      </c>
      <c r="J14" s="5">
        <v>124.9</v>
      </c>
      <c r="K14" s="5">
        <v>122.6</v>
      </c>
      <c r="L14" s="5">
        <v>122.6</v>
      </c>
      <c r="M14" s="5">
        <v>122.6</v>
      </c>
      <c r="N14" s="5">
        <v>122.6</v>
      </c>
      <c r="O14" s="5">
        <v>122.6</v>
      </c>
      <c r="P14" s="5">
        <v>122.6</v>
      </c>
      <c r="R14" s="5">
        <v>126.3</v>
      </c>
      <c r="S14" s="5">
        <v>126.3</v>
      </c>
      <c r="T14" s="5">
        <v>126.3</v>
      </c>
      <c r="U14" s="5">
        <v>124.9</v>
      </c>
      <c r="V14" s="5">
        <v>124.9</v>
      </c>
      <c r="W14" s="5">
        <v>124.9</v>
      </c>
      <c r="X14" s="5">
        <v>122.6</v>
      </c>
      <c r="Y14" s="5">
        <v>122.6</v>
      </c>
      <c r="Z14" s="5">
        <v>122.6</v>
      </c>
      <c r="AA14" s="5">
        <v>122.6</v>
      </c>
      <c r="AB14" s="5">
        <v>122.6</v>
      </c>
      <c r="AC14" s="5">
        <v>122.6</v>
      </c>
      <c r="AD14" s="5">
        <v>122.6</v>
      </c>
      <c r="AE14" s="5">
        <v>122.6</v>
      </c>
      <c r="AF14" s="5">
        <v>122.6</v>
      </c>
      <c r="AG14" s="5">
        <v>122.6</v>
      </c>
      <c r="AH14" s="5">
        <v>122.6</v>
      </c>
      <c r="AI14" s="5">
        <v>122.6</v>
      </c>
    </row>
    <row r="15" spans="2:161" s="1" customFormat="1" x14ac:dyDescent="0.3">
      <c r="B15" s="1" t="s">
        <v>27</v>
      </c>
      <c r="C15" s="8">
        <f t="shared" ref="C15:H15" si="45">C13/C14</f>
        <v>9.7276326207442629</v>
      </c>
      <c r="D15" s="8">
        <f t="shared" si="45"/>
        <v>11.100554235946172</v>
      </c>
      <c r="E15" s="8">
        <f t="shared" si="45"/>
        <v>4.935866983372919</v>
      </c>
      <c r="F15" s="8">
        <f t="shared" si="45"/>
        <v>12.22090261282661</v>
      </c>
      <c r="G15" s="8">
        <f t="shared" si="45"/>
        <v>2.2470308788598596</v>
      </c>
      <c r="H15" s="8">
        <f t="shared" si="45"/>
        <v>15.026421136909534</v>
      </c>
      <c r="I15" s="8">
        <f t="shared" ref="I15:K15" si="46">I13/I14</f>
        <v>12.012810248198562</v>
      </c>
      <c r="J15" s="8">
        <f t="shared" si="46"/>
        <v>13.967974379503598</v>
      </c>
      <c r="K15" s="8">
        <f t="shared" si="46"/>
        <v>16.663947797716151</v>
      </c>
      <c r="L15" s="8">
        <f t="shared" ref="L15:N15" si="47">L13/L14</f>
        <v>13.654159869494292</v>
      </c>
      <c r="M15" s="8">
        <f t="shared" ref="M15:O15" si="48">M13/M14</f>
        <v>15.05709624796085</v>
      </c>
      <c r="N15" s="8">
        <f t="shared" si="47"/>
        <v>10.0163132137031</v>
      </c>
      <c r="O15" s="8">
        <f t="shared" si="48"/>
        <v>7.6672104404567705</v>
      </c>
      <c r="P15" s="8">
        <f t="shared" ref="P15" si="49">P13/P14</f>
        <v>2.135804347471447</v>
      </c>
      <c r="R15" s="8">
        <f>R13/R14</f>
        <v>20.828186856690429</v>
      </c>
      <c r="S15" s="8">
        <f>S13/S14</f>
        <v>17.156769596199538</v>
      </c>
      <c r="T15" s="8">
        <f>T13/T14</f>
        <v>17.106888361045137</v>
      </c>
      <c r="U15" s="8">
        <f t="shared" ref="U15:AD15" si="50">U13/U14</f>
        <v>25.98078462770216</v>
      </c>
      <c r="V15" s="8">
        <f t="shared" si="50"/>
        <v>29.75980784627702</v>
      </c>
      <c r="W15" s="8">
        <f t="shared" si="50"/>
        <v>24.611689351481182</v>
      </c>
      <c r="X15" s="8">
        <f t="shared" si="50"/>
        <v>10.189390807504086</v>
      </c>
      <c r="Y15" s="8">
        <f t="shared" si="50"/>
        <v>12.763663349102776</v>
      </c>
      <c r="Z15" s="8">
        <f t="shared" si="50"/>
        <v>14.670720790734103</v>
      </c>
      <c r="AA15" s="8">
        <f t="shared" si="50"/>
        <v>15.840854349797082</v>
      </c>
      <c r="AB15" s="8">
        <f t="shared" si="50"/>
        <v>16.194710169479805</v>
      </c>
      <c r="AC15" s="8">
        <f t="shared" si="50"/>
        <v>16.556013492883075</v>
      </c>
      <c r="AD15" s="8">
        <f t="shared" si="50"/>
        <v>17.418286971950124</v>
      </c>
      <c r="AE15" s="8">
        <f t="shared" ref="AE15:AI15" si="51">AE13/AE14</f>
        <v>18.303117452690596</v>
      </c>
      <c r="AF15" s="8">
        <f t="shared" si="51"/>
        <v>19.211009190458917</v>
      </c>
      <c r="AG15" s="8">
        <f t="shared" si="51"/>
        <v>20.142477056869748</v>
      </c>
      <c r="AH15" s="8">
        <f t="shared" si="51"/>
        <v>21.098046757434805</v>
      </c>
      <c r="AI15" s="8">
        <f t="shared" si="51"/>
        <v>22.078255053605449</v>
      </c>
    </row>
    <row r="17" spans="2:38" x14ac:dyDescent="0.3">
      <c r="B17" s="1" t="s">
        <v>29</v>
      </c>
      <c r="E17" s="10">
        <f>E3/C3-1</f>
        <v>0.18758065268427693</v>
      </c>
      <c r="F17" s="10">
        <f t="shared" ref="F17:H17" si="52">F3/D3-1</f>
        <v>0.13988082894391196</v>
      </c>
      <c r="G17" s="10">
        <f t="shared" si="52"/>
        <v>-0.29588657310431499</v>
      </c>
      <c r="H17" s="10">
        <f t="shared" si="52"/>
        <v>-6.3455870759602684E-2</v>
      </c>
      <c r="I17" s="10">
        <f t="shared" ref="I17" si="53">I3/G3-1</f>
        <v>0.49623486975438325</v>
      </c>
      <c r="J17" s="10">
        <f t="shared" ref="J17" si="54">J3/H3-1</f>
        <v>0.24293243890752247</v>
      </c>
      <c r="K17" s="10">
        <f t="shared" ref="K17" si="55">K3/I3-1</f>
        <v>0.23396957948106167</v>
      </c>
      <c r="L17" s="10">
        <f t="shared" ref="L17" si="56">L3/J3-1</f>
        <v>8.5769655546062751E-2</v>
      </c>
      <c r="M17" s="10">
        <f t="shared" ref="M17" si="57">M3/K3-1</f>
        <v>2.0644511581067393E-2</v>
      </c>
      <c r="N17" s="10">
        <f t="shared" ref="N17" si="58">N3/L3-1</f>
        <v>-9.5000479800403048E-2</v>
      </c>
      <c r="O17" s="10">
        <f t="shared" ref="O17" si="59">O3/M3-1</f>
        <v>-0.11021213616181547</v>
      </c>
      <c r="P17" s="10">
        <f t="shared" ref="P17" si="60">P3/N3-1</f>
        <v>-0.13000000000000012</v>
      </c>
      <c r="S17" s="10">
        <f>S3/R3-1</f>
        <v>0.16233205514738169</v>
      </c>
      <c r="T17" s="10">
        <f t="shared" ref="T17:AD17" si="61">T3/S3-1</f>
        <v>-0.17523215915887547</v>
      </c>
      <c r="U17" s="10">
        <f t="shared" si="61"/>
        <v>0.34692600112975369</v>
      </c>
      <c r="V17" s="10">
        <f t="shared" si="61"/>
        <v>0.15335789175403791</v>
      </c>
      <c r="W17" s="10">
        <f t="shared" si="61"/>
        <v>-3.8573043093705461E-2</v>
      </c>
      <c r="X17" s="10">
        <f t="shared" si="61"/>
        <v>-0.11975007666360005</v>
      </c>
      <c r="Y17" s="10">
        <f t="shared" si="61"/>
        <v>5.0000000000000044E-2</v>
      </c>
      <c r="Z17" s="10">
        <f t="shared" si="61"/>
        <v>4.0000000000000036E-2</v>
      </c>
      <c r="AA17" s="10">
        <f t="shared" si="61"/>
        <v>3.0000000000000027E-2</v>
      </c>
      <c r="AB17" s="10">
        <f t="shared" si="61"/>
        <v>2.0000000000000018E-2</v>
      </c>
      <c r="AC17" s="10">
        <f t="shared" si="61"/>
        <v>2.0000000000000018E-2</v>
      </c>
      <c r="AD17" s="10">
        <f t="shared" si="61"/>
        <v>2.0000000000000018E-2</v>
      </c>
      <c r="AE17" s="10">
        <f t="shared" ref="AE17" si="62">AE3/AD3-1</f>
        <v>2.0000000000000018E-2</v>
      </c>
      <c r="AF17" s="10">
        <f t="shared" ref="AF17" si="63">AF3/AE3-1</f>
        <v>2.0000000000000018E-2</v>
      </c>
      <c r="AG17" s="10">
        <f t="shared" ref="AG17" si="64">AG3/AF3-1</f>
        <v>2.0000000000000018E-2</v>
      </c>
      <c r="AH17" s="10">
        <f t="shared" ref="AH17" si="65">AH3/AG3-1</f>
        <v>2.0000000000000018E-2</v>
      </c>
      <c r="AI17" s="10">
        <f t="shared" ref="AI17" si="66">AI3/AH3-1</f>
        <v>2.0000000000000018E-2</v>
      </c>
    </row>
    <row r="18" spans="2:38" x14ac:dyDescent="0.3">
      <c r="B18" s="1" t="s">
        <v>30</v>
      </c>
      <c r="C18" s="10">
        <f>C5/C3</f>
        <v>0.74254885803572823</v>
      </c>
      <c r="D18" s="10">
        <f t="shared" ref="D18:H18" si="67">D5/D3</f>
        <v>0.74961635767906765</v>
      </c>
      <c r="E18" s="10">
        <f t="shared" si="67"/>
        <v>0.73995863007959783</v>
      </c>
      <c r="F18" s="10">
        <f t="shared" si="67"/>
        <v>0.74261076275606119</v>
      </c>
      <c r="G18" s="10">
        <f t="shared" si="67"/>
        <v>0.72578695870442334</v>
      </c>
      <c r="H18" s="10">
        <f t="shared" si="67"/>
        <v>0.72605187842370411</v>
      </c>
      <c r="I18" s="10">
        <f t="shared" ref="I18:J18" si="68">I5/I3</f>
        <v>0.73846803857242271</v>
      </c>
      <c r="J18" s="10">
        <f t="shared" si="68"/>
        <v>0.74239929983954656</v>
      </c>
      <c r="K18" s="10">
        <f t="shared" ref="K18:P18" si="69">K5/K3</f>
        <v>0.74300100704934546</v>
      </c>
      <c r="L18" s="10">
        <f t="shared" si="69"/>
        <v>0.75040783034257752</v>
      </c>
      <c r="M18" s="10">
        <f t="shared" si="69"/>
        <v>0.76270350271336951</v>
      </c>
      <c r="N18" s="10">
        <f t="shared" si="69"/>
        <v>0.7631216201887393</v>
      </c>
      <c r="O18" s="10">
        <f t="shared" si="69"/>
        <v>0.74384564204923487</v>
      </c>
      <c r="P18" s="10">
        <f t="shared" si="69"/>
        <v>0.73</v>
      </c>
      <c r="R18" s="10">
        <f t="shared" ref="R18:S18" si="70">R5/R3</f>
        <v>0.74628984573954282</v>
      </c>
      <c r="S18" s="10">
        <f t="shared" si="70"/>
        <v>0.74133534800264422</v>
      </c>
      <c r="T18" s="10">
        <f t="shared" ref="T18:AD18" si="71">T5/T3</f>
        <v>0.7259431153722844</v>
      </c>
      <c r="U18" s="10">
        <f t="shared" si="71"/>
        <v>0.74060640408047607</v>
      </c>
      <c r="V18" s="10">
        <f t="shared" si="71"/>
        <v>0.74679376934794361</v>
      </c>
      <c r="W18" s="10">
        <f t="shared" si="71"/>
        <v>0.76290503935398135</v>
      </c>
      <c r="X18" s="10">
        <f t="shared" si="71"/>
        <v>0.74</v>
      </c>
      <c r="Y18" s="10">
        <f t="shared" si="71"/>
        <v>0.74</v>
      </c>
      <c r="Z18" s="10">
        <f t="shared" si="71"/>
        <v>0.74</v>
      </c>
      <c r="AA18" s="10">
        <f t="shared" si="71"/>
        <v>0.74</v>
      </c>
      <c r="AB18" s="10">
        <f t="shared" si="71"/>
        <v>0.74</v>
      </c>
      <c r="AC18" s="10">
        <f t="shared" si="71"/>
        <v>0.74</v>
      </c>
      <c r="AD18" s="10">
        <f t="shared" si="71"/>
        <v>0.74</v>
      </c>
      <c r="AE18" s="10">
        <f t="shared" ref="AE18:AI18" si="72">AE5/AE3</f>
        <v>0.74</v>
      </c>
      <c r="AF18" s="10">
        <f t="shared" si="72"/>
        <v>0.74</v>
      </c>
      <c r="AG18" s="10">
        <f t="shared" si="72"/>
        <v>0.74</v>
      </c>
      <c r="AH18" s="10">
        <f t="shared" si="72"/>
        <v>0.74</v>
      </c>
      <c r="AI18" s="10">
        <f t="shared" si="72"/>
        <v>0.7400000000000001</v>
      </c>
    </row>
    <row r="19" spans="2:38" x14ac:dyDescent="0.3">
      <c r="B19" t="s">
        <v>31</v>
      </c>
      <c r="C19" s="10">
        <f>C8/C3</f>
        <v>0.26928279357577084</v>
      </c>
      <c r="D19" s="10">
        <f t="shared" ref="D19:H19" si="73">D8/D3</f>
        <v>0.27503352550011767</v>
      </c>
      <c r="E19" s="10">
        <f t="shared" si="73"/>
        <v>0.28939306661080849</v>
      </c>
      <c r="F19" s="10">
        <f t="shared" si="73"/>
        <v>0.29099707705182476</v>
      </c>
      <c r="G19" s="10">
        <f t="shared" si="73"/>
        <v>0.11765799602104757</v>
      </c>
      <c r="H19" s="10">
        <f t="shared" si="73"/>
        <v>0.32411712143384414</v>
      </c>
      <c r="I19" s="10">
        <f t="shared" ref="I19:J19" si="74">I8/I3</f>
        <v>0.2779848891539915</v>
      </c>
      <c r="J19" s="10">
        <f t="shared" si="74"/>
        <v>0.28964971139219403</v>
      </c>
      <c r="K19" s="10">
        <f t="shared" ref="K19:P19" si="75">K8/K3</f>
        <v>0.28398791540785501</v>
      </c>
      <c r="L19" s="10">
        <f t="shared" si="75"/>
        <v>0.26571346319930911</v>
      </c>
      <c r="M19" s="10">
        <f t="shared" si="75"/>
        <v>0.27025160335471138</v>
      </c>
      <c r="N19" s="10">
        <f t="shared" si="75"/>
        <v>0.21280882197009862</v>
      </c>
      <c r="O19" s="10">
        <f t="shared" si="75"/>
        <v>0.17542692392991793</v>
      </c>
      <c r="P19" s="10">
        <f t="shared" si="75"/>
        <v>8.0280378843554476E-2</v>
      </c>
      <c r="R19" s="10">
        <f t="shared" ref="R19:S19" si="76">R8/R3</f>
        <v>0.27232678628926038</v>
      </c>
      <c r="S19" s="10">
        <f t="shared" si="76"/>
        <v>0.29022570592123909</v>
      </c>
      <c r="T19" s="10">
        <f t="shared" ref="T19:AD19" si="77">T8/T3</f>
        <v>0.23935512434924658</v>
      </c>
      <c r="U19" s="10">
        <f t="shared" si="77"/>
        <v>0.28432983848115612</v>
      </c>
      <c r="V19" s="10">
        <f t="shared" si="77"/>
        <v>0.27463023930028008</v>
      </c>
      <c r="W19" s="10">
        <f t="shared" si="77"/>
        <v>0.24256363078810181</v>
      </c>
      <c r="X19" s="10">
        <f t="shared" si="77"/>
        <v>0.13284978142561943</v>
      </c>
      <c r="Y19" s="10">
        <f t="shared" si="77"/>
        <v>0.15019693052774458</v>
      </c>
      <c r="Z19" s="10">
        <f t="shared" si="77"/>
        <v>0.16153929724836491</v>
      </c>
      <c r="AA19" s="10">
        <f t="shared" si="77"/>
        <v>0.16715542057605076</v>
      </c>
      <c r="AB19" s="10">
        <f t="shared" si="77"/>
        <v>0.16715542057605068</v>
      </c>
      <c r="AC19" s="10">
        <f t="shared" si="77"/>
        <v>0.16715542057605084</v>
      </c>
      <c r="AD19" s="10">
        <f t="shared" si="77"/>
        <v>0.17113157335539955</v>
      </c>
      <c r="AE19" s="10">
        <f t="shared" ref="AE19:AI19" si="78">AE8/AE3</f>
        <v>0.17506874424475463</v>
      </c>
      <c r="AF19" s="10">
        <f t="shared" si="78"/>
        <v>0.17896731541950828</v>
      </c>
      <c r="AG19" s="10">
        <f t="shared" si="78"/>
        <v>0.18282766530823494</v>
      </c>
      <c r="AH19" s="10">
        <f t="shared" si="78"/>
        <v>0.18665016862942505</v>
      </c>
      <c r="AI19" s="10">
        <f t="shared" si="78"/>
        <v>0.19043519642785842</v>
      </c>
      <c r="AK19" t="s">
        <v>33</v>
      </c>
      <c r="AL19" s="10">
        <v>-0.01</v>
      </c>
    </row>
    <row r="20" spans="2:38" x14ac:dyDescent="0.3">
      <c r="B20" t="s">
        <v>32</v>
      </c>
      <c r="E20" s="10">
        <f t="shared" ref="E20:H20" si="79">E6/C6-1</f>
        <v>0.12619729436160743</v>
      </c>
      <c r="F20" s="10">
        <f t="shared" si="79"/>
        <v>7.7362555024819812E-2</v>
      </c>
      <c r="G20" s="10">
        <f t="shared" si="79"/>
        <v>-9.9780797895659745E-2</v>
      </c>
      <c r="H20" s="10">
        <f t="shared" si="79"/>
        <v>-9.301921237937949E-2</v>
      </c>
      <c r="I20" s="10">
        <f t="shared" ref="I20:I21" si="80">I6/G6-1</f>
        <v>0.13226843284308942</v>
      </c>
      <c r="J20" s="10">
        <f t="shared" ref="J20:J21" si="81">J6/H6-1</f>
        <v>0.22831400364228904</v>
      </c>
      <c r="K20" s="10">
        <f t="shared" ref="K20:K21" si="82">K6/I6-1</f>
        <v>0.18365591397849457</v>
      </c>
      <c r="L20" s="10">
        <f t="shared" ref="L20:L21" si="83">L6/J6-1</f>
        <v>0.13460788138899726</v>
      </c>
      <c r="M20" s="10">
        <f t="shared" ref="M20:M21" si="84">M6/K6-1</f>
        <v>9.375E-2</v>
      </c>
      <c r="N20" s="10">
        <f t="shared" ref="N20:N21" si="85">N6/L6-1</f>
        <v>1.5818431911966968E-2</v>
      </c>
      <c r="O20" s="10">
        <f t="shared" ref="O20:O21" si="86">O6/M6-1</f>
        <v>2.7906976744185963E-2</v>
      </c>
      <c r="P20" s="10">
        <f t="shared" ref="P20:P21" si="87">P6/N6-1</f>
        <v>2.0000000000000018E-2</v>
      </c>
      <c r="S20" s="10">
        <f t="shared" ref="S20:AD20" si="88">S6/R6-1</f>
        <v>0.10113439723130169</v>
      </c>
      <c r="T20" s="10">
        <f t="shared" si="88"/>
        <v>-9.6385542168674787E-2</v>
      </c>
      <c r="U20" s="10">
        <f t="shared" si="88"/>
        <v>0.18067632850241555</v>
      </c>
      <c r="V20" s="10">
        <f t="shared" si="88"/>
        <v>0.15793780687397718</v>
      </c>
      <c r="W20" s="10">
        <f t="shared" si="88"/>
        <v>5.3710247349823215E-2</v>
      </c>
      <c r="X20" s="10">
        <f t="shared" si="88"/>
        <v>2.3990610328638473E-2</v>
      </c>
      <c r="Y20" s="10">
        <f t="shared" si="88"/>
        <v>2.0000000000000018E-2</v>
      </c>
      <c r="Z20" s="10">
        <f t="shared" si="88"/>
        <v>2.0000000000000018E-2</v>
      </c>
      <c r="AA20" s="10">
        <f t="shared" si="88"/>
        <v>2.0000000000000018E-2</v>
      </c>
      <c r="AB20" s="10">
        <f t="shared" si="88"/>
        <v>2.0000000000000018E-2</v>
      </c>
      <c r="AC20" s="10">
        <f t="shared" si="88"/>
        <v>2.0000000000000018E-2</v>
      </c>
      <c r="AD20" s="10">
        <f t="shared" si="88"/>
        <v>2.0000000000000018E-2</v>
      </c>
      <c r="AE20" s="10">
        <f t="shared" ref="AE20:AE21" si="89">AE6/AD6-1</f>
        <v>2.0000000000000018E-2</v>
      </c>
      <c r="AF20" s="10">
        <f t="shared" ref="AF20:AF21" si="90">AF6/AE6-1</f>
        <v>2.0000000000000018E-2</v>
      </c>
      <c r="AG20" s="10">
        <f t="shared" ref="AG20:AG21" si="91">AG6/AF6-1</f>
        <v>2.0000000000000018E-2</v>
      </c>
      <c r="AH20" s="10">
        <f t="shared" ref="AH20:AH21" si="92">AH6/AG6-1</f>
        <v>2.0000000000000018E-2</v>
      </c>
      <c r="AI20" s="10">
        <f t="shared" ref="AI20:AI21" si="93">AI6/AH6-1</f>
        <v>2.0000000000000018E-2</v>
      </c>
      <c r="AK20" t="s">
        <v>34</v>
      </c>
      <c r="AL20" s="10">
        <v>0.08</v>
      </c>
    </row>
    <row r="21" spans="2:38" x14ac:dyDescent="0.3">
      <c r="B21" t="s">
        <v>44</v>
      </c>
      <c r="E21" s="10">
        <f t="shared" ref="E21" si="94">E7/C7-1</f>
        <v>0.13282134593610007</v>
      </c>
      <c r="F21" s="10">
        <f t="shared" ref="F21" si="95">F7/D7-1</f>
        <v>8.8030104435330658E-2</v>
      </c>
      <c r="G21" s="10">
        <f t="shared" ref="G21" si="96">G7/E7-1</f>
        <v>-2.4814219286428241E-2</v>
      </c>
      <c r="H21" s="10">
        <f t="shared" ref="H21" si="97">H7/F7-1</f>
        <v>-0.19931605331675284</v>
      </c>
      <c r="I21" s="10">
        <f t="shared" si="80"/>
        <v>0.13328877005347595</v>
      </c>
      <c r="J21" s="10">
        <f t="shared" si="81"/>
        <v>0.48704135119394332</v>
      </c>
      <c r="K21" s="10">
        <f t="shared" si="82"/>
        <v>0.25122881522551221</v>
      </c>
      <c r="L21" s="10">
        <f t="shared" si="83"/>
        <v>0.17399392930578661</v>
      </c>
      <c r="M21" s="10">
        <f t="shared" si="84"/>
        <v>9.5537397862979212E-2</v>
      </c>
      <c r="N21" s="10">
        <f t="shared" si="85"/>
        <v>3.224909646927987E-2</v>
      </c>
      <c r="O21" s="10">
        <f t="shared" si="86"/>
        <v>2.6678141135972444E-2</v>
      </c>
      <c r="P21" s="10">
        <f t="shared" si="87"/>
        <v>3.0000000000000027E-2</v>
      </c>
      <c r="S21" s="10">
        <f t="shared" ref="S21" si="98">S7/R7-1</f>
        <v>0.10872532071695029</v>
      </c>
      <c r="T21" s="10">
        <f t="shared" ref="T21" si="99">T7/S7-1</f>
        <v>-0.11693746922698178</v>
      </c>
      <c r="U21" s="10">
        <f t="shared" ref="U21" si="100">U7/T7-1</f>
        <v>0.30262057429606926</v>
      </c>
      <c r="V21" s="10">
        <f t="shared" ref="V21" si="101">V7/U7-1</f>
        <v>0.20902443374353497</v>
      </c>
      <c r="W21" s="10">
        <f t="shared" ref="W21" si="102">W7/V7-1</f>
        <v>6.1956040713969651E-2</v>
      </c>
      <c r="X21" s="10">
        <f t="shared" ref="X21" si="103">X7/W7-1</f>
        <v>2.8391443256007731E-2</v>
      </c>
      <c r="Y21" s="10">
        <f t="shared" ref="Y21" si="104">Y7/X7-1</f>
        <v>2.0000000000000018E-2</v>
      </c>
      <c r="Z21" s="10">
        <f t="shared" ref="Z21" si="105">Z7/Y7-1</f>
        <v>2.0000000000000018E-2</v>
      </c>
      <c r="AA21" s="10">
        <f t="shared" ref="AA21" si="106">AA7/Z7-1</f>
        <v>2.0000000000000018E-2</v>
      </c>
      <c r="AB21" s="10">
        <f t="shared" ref="AB21" si="107">AB7/AA7-1</f>
        <v>2.0000000000000018E-2</v>
      </c>
      <c r="AC21" s="10">
        <f t="shared" ref="AC21" si="108">AC7/AB7-1</f>
        <v>2.0000000000000018E-2</v>
      </c>
      <c r="AD21" s="10">
        <f t="shared" ref="AD21" si="109">AD7/AC7-1</f>
        <v>1.0000000000000009E-2</v>
      </c>
      <c r="AE21" s="10">
        <f t="shared" si="89"/>
        <v>1.0000000000000009E-2</v>
      </c>
      <c r="AF21" s="10">
        <f t="shared" si="90"/>
        <v>1.0000000000000009E-2</v>
      </c>
      <c r="AG21" s="10">
        <f t="shared" si="91"/>
        <v>1.0000000000000009E-2</v>
      </c>
      <c r="AH21" s="10">
        <f t="shared" si="92"/>
        <v>1.0000000000000009E-2</v>
      </c>
      <c r="AI21" s="10">
        <f t="shared" si="93"/>
        <v>1.0000000000000009E-2</v>
      </c>
      <c r="AK21" t="s">
        <v>35</v>
      </c>
      <c r="AL21" s="5">
        <f>NPV(AL20,X13:FE13)</f>
        <v>26772.403206182847</v>
      </c>
    </row>
    <row r="22" spans="2:38" x14ac:dyDescent="0.3">
      <c r="B22" t="s">
        <v>23</v>
      </c>
      <c r="C22" s="10">
        <f>C11/C10</f>
        <v>0.23548840907700772</v>
      </c>
      <c r="D22" s="10">
        <f t="shared" ref="D22:AD22" si="110">D11/D10</f>
        <v>0.25686462324393344</v>
      </c>
      <c r="E22" s="10">
        <f t="shared" si="110"/>
        <v>0.69790061633281986</v>
      </c>
      <c r="F22" s="10">
        <f t="shared" si="110"/>
        <v>0.30775803912750149</v>
      </c>
      <c r="G22" s="10">
        <f t="shared" si="110"/>
        <v>0.39700758352121318</v>
      </c>
      <c r="H22" s="10">
        <f t="shared" si="110"/>
        <v>0.22904009720534621</v>
      </c>
      <c r="I22" s="10">
        <f t="shared" ref="I22:J22" si="111">I11/I10</f>
        <v>0.28394059500501406</v>
      </c>
      <c r="J22" s="10">
        <f t="shared" si="111"/>
        <v>0.28206922095559489</v>
      </c>
      <c r="K22" s="10">
        <f t="shared" ref="K22:P22" si="112">K11/K10</f>
        <v>0.26793400286944047</v>
      </c>
      <c r="L22" s="10">
        <f t="shared" si="112"/>
        <v>0.28674904132935664</v>
      </c>
      <c r="M22" s="10">
        <f t="shared" si="112"/>
        <v>0.27297830374753451</v>
      </c>
      <c r="N22" s="10">
        <f t="shared" si="112"/>
        <v>0.27738515901060068</v>
      </c>
      <c r="O22" s="10">
        <f t="shared" si="112"/>
        <v>0.26932084309133492</v>
      </c>
      <c r="P22" s="10">
        <f t="shared" si="112"/>
        <v>0.27</v>
      </c>
      <c r="R22" s="10">
        <f t="shared" si="110"/>
        <v>0.24691955265928681</v>
      </c>
      <c r="S22" s="10">
        <f t="shared" si="110"/>
        <v>0.4961746854870589</v>
      </c>
      <c r="T22" s="10">
        <f t="shared" si="110"/>
        <v>0.25675538570800499</v>
      </c>
      <c r="U22" s="10">
        <f t="shared" si="110"/>
        <v>0.28293545534924847</v>
      </c>
      <c r="V22" s="10">
        <f t="shared" si="110"/>
        <v>0.2765335929892892</v>
      </c>
      <c r="W22" s="10">
        <f t="shared" si="110"/>
        <v>0.27474604299551147</v>
      </c>
      <c r="X22" s="10">
        <f t="shared" si="110"/>
        <v>0.26190321870881511</v>
      </c>
      <c r="Y22" s="10">
        <f t="shared" si="110"/>
        <v>0.26</v>
      </c>
      <c r="Z22" s="10">
        <f t="shared" si="110"/>
        <v>0.26</v>
      </c>
      <c r="AA22" s="10">
        <f t="shared" si="110"/>
        <v>0.26</v>
      </c>
      <c r="AB22" s="10">
        <f t="shared" si="110"/>
        <v>0.26</v>
      </c>
      <c r="AC22" s="10">
        <f t="shared" si="110"/>
        <v>0.26</v>
      </c>
      <c r="AD22" s="10">
        <f t="shared" si="110"/>
        <v>0.26</v>
      </c>
      <c r="AE22" s="10">
        <f t="shared" ref="AE22:AI22" si="113">AE11/AE10</f>
        <v>0.26</v>
      </c>
      <c r="AF22" s="10">
        <f t="shared" si="113"/>
        <v>0.26</v>
      </c>
      <c r="AG22" s="10">
        <f t="shared" si="113"/>
        <v>0.26</v>
      </c>
      <c r="AH22" s="10">
        <f t="shared" si="113"/>
        <v>0.26</v>
      </c>
      <c r="AI22" s="10">
        <f t="shared" si="113"/>
        <v>0.26</v>
      </c>
      <c r="AK22" t="s">
        <v>36</v>
      </c>
      <c r="AL22" s="5">
        <f>Main!D8</f>
        <v>-8147</v>
      </c>
    </row>
    <row r="23" spans="2:38" x14ac:dyDescent="0.3">
      <c r="B23" t="s">
        <v>51</v>
      </c>
      <c r="C23" s="10">
        <f>C13/C3</f>
        <v>0.19101665137828641</v>
      </c>
      <c r="D23" s="10">
        <f t="shared" ref="D23:P23" si="114">D13/D3</f>
        <v>0.1938257779989771</v>
      </c>
      <c r="E23" s="10">
        <f t="shared" si="114"/>
        <v>8.161395056556342E-2</v>
      </c>
      <c r="F23" s="10">
        <f t="shared" si="114"/>
        <v>0.18720209579022701</v>
      </c>
      <c r="G23" s="10">
        <f t="shared" si="114"/>
        <v>5.2767603145975533E-2</v>
      </c>
      <c r="H23" s="10">
        <f t="shared" si="114"/>
        <v>0.24304899053341802</v>
      </c>
      <c r="I23" s="10">
        <f t="shared" si="114"/>
        <v>0.18644994532259676</v>
      </c>
      <c r="J23" s="10">
        <f t="shared" si="114"/>
        <v>0.18177082248015167</v>
      </c>
      <c r="K23" s="10">
        <f t="shared" si="114"/>
        <v>0.20574018126888219</v>
      </c>
      <c r="L23" s="10">
        <f t="shared" si="114"/>
        <v>0.16063717493522695</v>
      </c>
      <c r="M23" s="10">
        <f t="shared" si="114"/>
        <v>0.18214109521460287</v>
      </c>
      <c r="N23" s="10">
        <f t="shared" si="114"/>
        <v>0.13020888559007529</v>
      </c>
      <c r="O23" s="10">
        <f t="shared" si="114"/>
        <v>0.10423597249944555</v>
      </c>
      <c r="P23" s="10">
        <f t="shared" si="114"/>
        <v>3.1913536917258616E-2</v>
      </c>
      <c r="R23" s="10">
        <f t="shared" ref="R23:AI23" si="115">R13/R3</f>
        <v>0.19250358575066601</v>
      </c>
      <c r="S23" s="10">
        <f t="shared" si="115"/>
        <v>0.13642459155727651</v>
      </c>
      <c r="T23" s="10">
        <f t="shared" si="115"/>
        <v>0.16492877971328687</v>
      </c>
      <c r="U23" s="10">
        <f t="shared" si="115"/>
        <v>0.1839047888920374</v>
      </c>
      <c r="V23" s="10">
        <f t="shared" si="115"/>
        <v>0.18264458748955825</v>
      </c>
      <c r="W23" s="10">
        <f t="shared" si="115"/>
        <v>0.15710927118470816</v>
      </c>
      <c r="X23" s="10">
        <f t="shared" si="115"/>
        <v>7.253216564854964E-2</v>
      </c>
      <c r="Y23" s="10">
        <f t="shared" si="115"/>
        <v>8.6530351291383104E-2</v>
      </c>
      <c r="Z23" s="10">
        <f t="shared" si="115"/>
        <v>9.5633761625194505E-2</v>
      </c>
      <c r="AA23" s="10">
        <f t="shared" si="115"/>
        <v>0.10025387382629555</v>
      </c>
      <c r="AB23" s="10">
        <f t="shared" si="115"/>
        <v>0.10048368889884435</v>
      </c>
      <c r="AC23" s="10">
        <f t="shared" si="115"/>
        <v>0.10071125088244674</v>
      </c>
      <c r="AD23" s="10">
        <f t="shared" si="115"/>
        <v>0.10387893492292784</v>
      </c>
      <c r="AE23" s="10">
        <f t="shared" si="115"/>
        <v>0.10701556323752183</v>
      </c>
      <c r="AF23" s="10">
        <f t="shared" si="115"/>
        <v>0.11012144029412971</v>
      </c>
      <c r="AG23" s="10">
        <f t="shared" si="115"/>
        <v>0.11319686757567279</v>
      </c>
      <c r="AH23" s="10">
        <f t="shared" si="115"/>
        <v>0.11624214360935758</v>
      </c>
      <c r="AI23" s="10">
        <f t="shared" si="115"/>
        <v>0.11925756399565336</v>
      </c>
      <c r="AK23" t="s">
        <v>37</v>
      </c>
      <c r="AL23" s="5">
        <f>AL21+AL22</f>
        <v>18625.403206182847</v>
      </c>
    </row>
    <row r="24" spans="2:38" x14ac:dyDescent="0.3">
      <c r="AK24" t="s">
        <v>38</v>
      </c>
      <c r="AL24" s="4">
        <f>AL23/AD14</f>
        <v>151.92009140442781</v>
      </c>
    </row>
    <row r="25" spans="2:38" x14ac:dyDescent="0.3">
      <c r="AK25" t="s">
        <v>39</v>
      </c>
      <c r="AL25" s="4">
        <f>Main!D3</f>
        <v>238.2</v>
      </c>
    </row>
    <row r="26" spans="2:38" x14ac:dyDescent="0.3">
      <c r="AK26" s="1" t="s">
        <v>40</v>
      </c>
      <c r="AL26" s="7">
        <f>AL24/AL25-1</f>
        <v>-0.36221624095538285</v>
      </c>
    </row>
    <row r="27" spans="2:38" x14ac:dyDescent="0.3">
      <c r="AK27" t="s">
        <v>41</v>
      </c>
      <c r="AL27" s="6" t="s">
        <v>52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2021-01-24T12:36:14Z</dcterms:created>
  <dcterms:modified xsi:type="dcterms:W3CDTF">2024-12-07T18:21:35Z</dcterms:modified>
</cp:coreProperties>
</file>