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ECB57752-6CB3-4A0B-BFA6-67A1A7DC416A}" xr6:coauthVersionLast="47" xr6:coauthVersionMax="47" xr10:uidLastSave="{00000000-0000-0000-0000-000000000000}"/>
  <bookViews>
    <workbookView xWindow="-108" yWindow="-108" windowWidth="23256" windowHeight="12576" xr2:uid="{F2D1AAA3-3AF7-4C1B-8ABB-8BCB7FEB94A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2" l="1"/>
  <c r="AC3" i="2"/>
  <c r="AB3" i="2"/>
  <c r="R3" i="2"/>
  <c r="AO28" i="2"/>
  <c r="AC11" i="2" l="1"/>
  <c r="AD11" i="2" s="1"/>
  <c r="AE11" i="2" s="1"/>
  <c r="AF11" i="2" s="1"/>
  <c r="AG11" i="2" s="1"/>
  <c r="AH11" i="2" s="1"/>
  <c r="AI11" i="2" s="1"/>
  <c r="AJ11" i="2" s="1"/>
  <c r="AK11" i="2" s="1"/>
  <c r="AL11" i="2" s="1"/>
  <c r="AB11" i="2"/>
  <c r="AC7" i="2"/>
  <c r="AB7" i="2"/>
  <c r="R15" i="2"/>
  <c r="AA15" i="2" s="1"/>
  <c r="R11" i="2"/>
  <c r="AA11" i="2" s="1"/>
  <c r="R7" i="2"/>
  <c r="R6" i="2"/>
  <c r="R5" i="2"/>
  <c r="R4" i="2" s="1"/>
  <c r="AA4" i="2" s="1"/>
  <c r="AA12" i="2"/>
  <c r="AA9" i="2"/>
  <c r="AA8" i="2"/>
  <c r="AA7" i="2"/>
  <c r="AA6" i="2"/>
  <c r="AA3" i="2"/>
  <c r="AB5" i="2" s="1"/>
  <c r="Y11" i="2"/>
  <c r="N15" i="2"/>
  <c r="N14" i="2"/>
  <c r="N12" i="2"/>
  <c r="N11" i="2"/>
  <c r="N9" i="2"/>
  <c r="N8" i="2"/>
  <c r="N7" i="2"/>
  <c r="N6" i="2"/>
  <c r="N4" i="2"/>
  <c r="N3" i="2"/>
  <c r="L15" i="2"/>
  <c r="L14" i="2"/>
  <c r="L12" i="2"/>
  <c r="L11" i="2"/>
  <c r="L9" i="2"/>
  <c r="L8" i="2"/>
  <c r="L7" i="2"/>
  <c r="L6" i="2"/>
  <c r="L4" i="2"/>
  <c r="L3" i="2"/>
  <c r="J5" i="2"/>
  <c r="X11" i="2"/>
  <c r="X5" i="2"/>
  <c r="P15" i="2"/>
  <c r="P14" i="2"/>
  <c r="P12" i="2"/>
  <c r="P11" i="2"/>
  <c r="P9" i="2"/>
  <c r="P8" i="2"/>
  <c r="P7" i="2"/>
  <c r="R24" i="2" s="1"/>
  <c r="P6" i="2"/>
  <c r="P23" i="2" s="1"/>
  <c r="P4" i="2"/>
  <c r="P3" i="2"/>
  <c r="Y5" i="2"/>
  <c r="Y10" i="2" s="1"/>
  <c r="Y13" i="2" s="1"/>
  <c r="Y16" i="2" s="1"/>
  <c r="Y18" i="2" s="1"/>
  <c r="K11" i="2"/>
  <c r="K5" i="2"/>
  <c r="K10" i="2" s="1"/>
  <c r="K13" i="2" s="1"/>
  <c r="K16" i="2" s="1"/>
  <c r="M11" i="2"/>
  <c r="M5" i="2"/>
  <c r="M10" i="2" s="1"/>
  <c r="M22" i="2" s="1"/>
  <c r="Z11" i="2"/>
  <c r="Z5" i="2"/>
  <c r="Z10" i="2" s="1"/>
  <c r="O11" i="2"/>
  <c r="O5" i="2"/>
  <c r="O10" i="2" s="1"/>
  <c r="Q11" i="2"/>
  <c r="Q5" i="2"/>
  <c r="Q10" i="2" s="1"/>
  <c r="W26" i="2"/>
  <c r="V26" i="2"/>
  <c r="U26" i="2"/>
  <c r="T26" i="2"/>
  <c r="I26" i="2"/>
  <c r="H26" i="2"/>
  <c r="G26" i="2"/>
  <c r="F26" i="2"/>
  <c r="E26" i="2"/>
  <c r="D26" i="2"/>
  <c r="C26" i="2"/>
  <c r="Q24" i="2"/>
  <c r="O24" i="2"/>
  <c r="M24" i="2"/>
  <c r="O23" i="2"/>
  <c r="M23" i="2"/>
  <c r="M21" i="2"/>
  <c r="O20" i="2"/>
  <c r="M20" i="2"/>
  <c r="D7" i="1"/>
  <c r="D6" i="1"/>
  <c r="K20" i="2"/>
  <c r="U24" i="2"/>
  <c r="K24" i="2"/>
  <c r="J15" i="2"/>
  <c r="J14" i="2"/>
  <c r="J12" i="2"/>
  <c r="J9" i="2"/>
  <c r="J8" i="2"/>
  <c r="J7" i="2"/>
  <c r="J6" i="2"/>
  <c r="J4" i="2"/>
  <c r="J3" i="2"/>
  <c r="W11" i="2"/>
  <c r="V24" i="2"/>
  <c r="V23" i="2"/>
  <c r="U23" i="2"/>
  <c r="T23" i="2"/>
  <c r="V20" i="2"/>
  <c r="U20" i="2"/>
  <c r="I24" i="2"/>
  <c r="G24" i="2"/>
  <c r="E24" i="2"/>
  <c r="I23" i="2"/>
  <c r="G23" i="2"/>
  <c r="E23" i="2"/>
  <c r="C23" i="2"/>
  <c r="I20" i="2"/>
  <c r="G20" i="2"/>
  <c r="E20" i="2"/>
  <c r="H15" i="2"/>
  <c r="H14" i="2"/>
  <c r="H12" i="2"/>
  <c r="H9" i="2"/>
  <c r="H8" i="2"/>
  <c r="H7" i="2"/>
  <c r="H6" i="2"/>
  <c r="H4" i="2"/>
  <c r="H3" i="2"/>
  <c r="D15" i="2"/>
  <c r="F15" i="2"/>
  <c r="F14" i="2"/>
  <c r="F12" i="2"/>
  <c r="F11" i="2"/>
  <c r="F9" i="2"/>
  <c r="F8" i="2"/>
  <c r="F7" i="2"/>
  <c r="F6" i="2"/>
  <c r="F4" i="2"/>
  <c r="F3" i="2"/>
  <c r="D14" i="2"/>
  <c r="D12" i="2"/>
  <c r="D11" i="2"/>
  <c r="D9" i="2"/>
  <c r="D8" i="2"/>
  <c r="D6" i="2"/>
  <c r="D4" i="2"/>
  <c r="D3" i="2"/>
  <c r="T5" i="2"/>
  <c r="T10" i="2" s="1"/>
  <c r="T13" i="2" s="1"/>
  <c r="T16" i="2" s="1"/>
  <c r="T18" i="2" s="1"/>
  <c r="U5" i="2"/>
  <c r="U10" i="2" s="1"/>
  <c r="U13" i="2" s="1"/>
  <c r="U16" i="2" s="1"/>
  <c r="U18" i="2" s="1"/>
  <c r="V11" i="2"/>
  <c r="V5" i="2"/>
  <c r="V10" i="2" s="1"/>
  <c r="C5" i="2"/>
  <c r="C10" i="2" s="1"/>
  <c r="C13" i="2" s="1"/>
  <c r="C16" i="2" s="1"/>
  <c r="C18" i="2" s="1"/>
  <c r="E5" i="2"/>
  <c r="E10" i="2" s="1"/>
  <c r="E13" i="2" s="1"/>
  <c r="E16" i="2" s="1"/>
  <c r="E18" i="2" s="1"/>
  <c r="G11" i="2"/>
  <c r="G5" i="2"/>
  <c r="G10" i="2" s="1"/>
  <c r="I11" i="2"/>
  <c r="J11" i="2" s="1"/>
  <c r="I5" i="2"/>
  <c r="I10" i="2" s="1"/>
  <c r="I22" i="2" s="1"/>
  <c r="D5" i="1"/>
  <c r="F3" i="1"/>
  <c r="R10" i="2" l="1"/>
  <c r="R13" i="2" s="1"/>
  <c r="AB6" i="2"/>
  <c r="AB15" i="2"/>
  <c r="R23" i="2"/>
  <c r="R20" i="2"/>
  <c r="R21" i="2"/>
  <c r="N24" i="2"/>
  <c r="N23" i="2"/>
  <c r="N5" i="2"/>
  <c r="N21" i="2" s="1"/>
  <c r="N20" i="2"/>
  <c r="L20" i="2"/>
  <c r="K18" i="2"/>
  <c r="K26" i="2"/>
  <c r="M13" i="2"/>
  <c r="P24" i="2"/>
  <c r="P5" i="2"/>
  <c r="P21" i="2" s="1"/>
  <c r="P20" i="2"/>
  <c r="Z13" i="2"/>
  <c r="Z16" i="2" s="1"/>
  <c r="Z26" i="2" s="1"/>
  <c r="O21" i="2"/>
  <c r="O13" i="2"/>
  <c r="O22" i="2"/>
  <c r="Q13" i="2"/>
  <c r="Q16" i="2" s="1"/>
  <c r="Q18" i="2" s="1"/>
  <c r="Q21" i="2"/>
  <c r="Q20" i="2"/>
  <c r="Q23" i="2"/>
  <c r="F23" i="2"/>
  <c r="V13" i="2"/>
  <c r="V16" i="2" s="1"/>
  <c r="V18" i="2" s="1"/>
  <c r="D5" i="2"/>
  <c r="D21" i="2" s="1"/>
  <c r="L24" i="2"/>
  <c r="L5" i="2"/>
  <c r="L23" i="2"/>
  <c r="X20" i="2"/>
  <c r="H11" i="2"/>
  <c r="K23" i="2"/>
  <c r="K21" i="2"/>
  <c r="D7" i="2"/>
  <c r="F24" i="2" s="1"/>
  <c r="H23" i="2"/>
  <c r="H24" i="2"/>
  <c r="V21" i="2"/>
  <c r="H20" i="2"/>
  <c r="E22" i="2"/>
  <c r="C25" i="2"/>
  <c r="D23" i="2"/>
  <c r="T21" i="2"/>
  <c r="G13" i="2"/>
  <c r="F20" i="2"/>
  <c r="E21" i="2"/>
  <c r="G22" i="2"/>
  <c r="E25" i="2"/>
  <c r="U21" i="2"/>
  <c r="G21" i="2"/>
  <c r="T22" i="2"/>
  <c r="T25" i="2"/>
  <c r="F5" i="2"/>
  <c r="F21" i="2" s="1"/>
  <c r="U22" i="2"/>
  <c r="U25" i="2"/>
  <c r="C21" i="2"/>
  <c r="I21" i="2"/>
  <c r="V22" i="2"/>
  <c r="C22" i="2"/>
  <c r="D8" i="1"/>
  <c r="AO25" i="2" s="1"/>
  <c r="J20" i="2"/>
  <c r="W20" i="2"/>
  <c r="H5" i="2"/>
  <c r="I13" i="2"/>
  <c r="R14" i="2" l="1"/>
  <c r="R16" i="2"/>
  <c r="R22" i="2"/>
  <c r="N10" i="2"/>
  <c r="N13" i="2" s="1"/>
  <c r="N16" i="2" s="1"/>
  <c r="N18" i="2" s="1"/>
  <c r="P10" i="2"/>
  <c r="P22" i="2" s="1"/>
  <c r="M16" i="2"/>
  <c r="M25" i="2"/>
  <c r="Z18" i="2"/>
  <c r="O16" i="2"/>
  <c r="O25" i="2"/>
  <c r="Q22" i="2"/>
  <c r="X21" i="2"/>
  <c r="V25" i="2"/>
  <c r="L21" i="2"/>
  <c r="D10" i="2"/>
  <c r="D22" i="2" s="1"/>
  <c r="F10" i="2"/>
  <c r="F13" i="2" s="1"/>
  <c r="L10" i="2"/>
  <c r="X23" i="2"/>
  <c r="K22" i="2"/>
  <c r="I16" i="2"/>
  <c r="I18" i="2" s="1"/>
  <c r="I25" i="2"/>
  <c r="H10" i="2"/>
  <c r="H21" i="2"/>
  <c r="G16" i="2"/>
  <c r="G18" i="2" s="1"/>
  <c r="G25" i="2"/>
  <c r="J21" i="2"/>
  <c r="D9" i="1"/>
  <c r="R18" i="2" l="1"/>
  <c r="R26" i="2"/>
  <c r="R25" i="2"/>
  <c r="AA14" i="2"/>
  <c r="N25" i="2"/>
  <c r="N26" i="2"/>
  <c r="N22" i="2"/>
  <c r="P13" i="2"/>
  <c r="P16" i="2" s="1"/>
  <c r="P18" i="2" s="1"/>
  <c r="M26" i="2"/>
  <c r="M18" i="2"/>
  <c r="O18" i="2"/>
  <c r="O26" i="2"/>
  <c r="Q25" i="2"/>
  <c r="D13" i="2"/>
  <c r="D16" i="2" s="1"/>
  <c r="D18" i="2" s="1"/>
  <c r="Y23" i="2"/>
  <c r="Y20" i="2"/>
  <c r="Z20" i="2"/>
  <c r="F22" i="2"/>
  <c r="L13" i="2"/>
  <c r="L22" i="2"/>
  <c r="Z23" i="2"/>
  <c r="H13" i="2"/>
  <c r="H22" i="2"/>
  <c r="F16" i="2"/>
  <c r="F18" i="2" s="1"/>
  <c r="F25" i="2"/>
  <c r="Y21" i="2"/>
  <c r="P26" i="2" l="1"/>
  <c r="P25" i="2"/>
  <c r="Q26" i="2"/>
  <c r="D25" i="2"/>
  <c r="L25" i="2"/>
  <c r="K25" i="2"/>
  <c r="H16" i="2"/>
  <c r="H18" i="2" s="1"/>
  <c r="H25" i="2"/>
  <c r="Z21" i="2" l="1"/>
  <c r="AA20" i="2"/>
  <c r="AA23" i="2"/>
  <c r="L16" i="2"/>
  <c r="L18" i="2" l="1"/>
  <c r="L26" i="2"/>
  <c r="AB20" i="2"/>
  <c r="AB23" i="2"/>
  <c r="AC5" i="2" l="1"/>
  <c r="AC21" i="2" s="1"/>
  <c r="AC6" i="2"/>
  <c r="AC23" i="2" s="1"/>
  <c r="AC15" i="2"/>
  <c r="AC20" i="2"/>
  <c r="AD5" i="2" l="1"/>
  <c r="AD21" i="2" s="1"/>
  <c r="AD6" i="2"/>
  <c r="AD23" i="2" s="1"/>
  <c r="AD15" i="2"/>
  <c r="AE3" i="2"/>
  <c r="AC4" i="2"/>
  <c r="AD20" i="2"/>
  <c r="AE5" i="2" l="1"/>
  <c r="AE21" i="2" s="1"/>
  <c r="AE15" i="2"/>
  <c r="AF3" i="2"/>
  <c r="AE6" i="2"/>
  <c r="AE23" i="2" s="1"/>
  <c r="AD4" i="2"/>
  <c r="AE20" i="2"/>
  <c r="AF5" i="2" l="1"/>
  <c r="AF15" i="2"/>
  <c r="AG3" i="2"/>
  <c r="AH3" i="2" s="1"/>
  <c r="AI3" i="2" s="1"/>
  <c r="AJ3" i="2" s="1"/>
  <c r="AK3" i="2" s="1"/>
  <c r="AL3" i="2" s="1"/>
  <c r="AF6" i="2"/>
  <c r="AE4" i="2"/>
  <c r="AF23" i="2"/>
  <c r="AF21" i="2"/>
  <c r="AF20" i="2"/>
  <c r="AB12" i="2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B9" i="2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J24" i="2"/>
  <c r="AG5" i="2" l="1"/>
  <c r="AG21" i="2" s="1"/>
  <c r="AG6" i="2"/>
  <c r="AG15" i="2"/>
  <c r="AF4" i="2"/>
  <c r="AG23" i="2"/>
  <c r="AG20" i="2"/>
  <c r="X10" i="2"/>
  <c r="X24" i="2"/>
  <c r="W24" i="2"/>
  <c r="AH20" i="2" l="1"/>
  <c r="AI20" i="2"/>
  <c r="AH5" i="2"/>
  <c r="AH21" i="2" s="1"/>
  <c r="AH15" i="2"/>
  <c r="AH6" i="2"/>
  <c r="AH23" i="2" s="1"/>
  <c r="AG4" i="2"/>
  <c r="X22" i="2"/>
  <c r="X13" i="2"/>
  <c r="Y24" i="2"/>
  <c r="AH4" i="2" l="1"/>
  <c r="AI5" i="2"/>
  <c r="AI4" i="2" s="1"/>
  <c r="AI6" i="2"/>
  <c r="AI23" i="2" s="1"/>
  <c r="AI15" i="2"/>
  <c r="X25" i="2"/>
  <c r="Y22" i="2"/>
  <c r="Z24" i="2"/>
  <c r="AI21" i="2" l="1"/>
  <c r="AJ5" i="2"/>
  <c r="AJ6" i="2"/>
  <c r="AJ23" i="2" s="1"/>
  <c r="AJ15" i="2"/>
  <c r="AJ4" i="2"/>
  <c r="AJ20" i="2"/>
  <c r="AJ21" i="2"/>
  <c r="AA24" i="2"/>
  <c r="X16" i="2"/>
  <c r="X26" i="2" s="1"/>
  <c r="Z22" i="2"/>
  <c r="Y25" i="2"/>
  <c r="AK5" i="2" l="1"/>
  <c r="AK4" i="2" s="1"/>
  <c r="AK6" i="2"/>
  <c r="AK23" i="2" s="1"/>
  <c r="AK15" i="2"/>
  <c r="AK20" i="2"/>
  <c r="AL20" i="2"/>
  <c r="X18" i="2"/>
  <c r="Z25" i="2"/>
  <c r="AB24" i="2"/>
  <c r="AK21" i="2" l="1"/>
  <c r="AL5" i="2"/>
  <c r="AL4" i="2" s="1"/>
  <c r="AL6" i="2"/>
  <c r="AL23" i="2" s="1"/>
  <c r="AL15" i="2"/>
  <c r="Y26" i="2"/>
  <c r="AL21" i="2"/>
  <c r="AD7" i="2"/>
  <c r="AC10" i="2"/>
  <c r="AC24" i="2"/>
  <c r="AC13" i="2" l="1"/>
  <c r="AC14" i="2" s="1"/>
  <c r="AC22" i="2"/>
  <c r="AE7" i="2"/>
  <c r="AD10" i="2"/>
  <c r="AD24" i="2"/>
  <c r="AE10" i="2" l="1"/>
  <c r="AE24" i="2"/>
  <c r="AF7" i="2"/>
  <c r="AC25" i="2"/>
  <c r="AD13" i="2"/>
  <c r="AD14" i="2" s="1"/>
  <c r="AD22" i="2"/>
  <c r="AD25" i="2" l="1"/>
  <c r="AC16" i="2"/>
  <c r="AF24" i="2"/>
  <c r="AF10" i="2"/>
  <c r="AG7" i="2"/>
  <c r="AH7" i="2" s="1"/>
  <c r="AI7" i="2" s="1"/>
  <c r="AJ7" i="2" s="1"/>
  <c r="AK7" i="2" s="1"/>
  <c r="AL7" i="2" s="1"/>
  <c r="AE22" i="2"/>
  <c r="AE13" i="2"/>
  <c r="AE14" i="2" s="1"/>
  <c r="AH24" i="2" l="1"/>
  <c r="AH10" i="2"/>
  <c r="AC18" i="2"/>
  <c r="AC26" i="2"/>
  <c r="AE25" i="2"/>
  <c r="AG10" i="2"/>
  <c r="AG24" i="2"/>
  <c r="AF22" i="2"/>
  <c r="AF13" i="2"/>
  <c r="AF14" i="2" s="1"/>
  <c r="AD16" i="2"/>
  <c r="AD26" i="2" l="1"/>
  <c r="AH13" i="2"/>
  <c r="AH14" i="2" s="1"/>
  <c r="AH22" i="2"/>
  <c r="AI24" i="2"/>
  <c r="AI10" i="2"/>
  <c r="AD18" i="2"/>
  <c r="AE16" i="2"/>
  <c r="AF25" i="2"/>
  <c r="AG13" i="2"/>
  <c r="AG14" i="2" s="1"/>
  <c r="AG22" i="2"/>
  <c r="AE18" i="2" l="1"/>
  <c r="AE26" i="2"/>
  <c r="AJ24" i="2"/>
  <c r="AJ10" i="2"/>
  <c r="AI13" i="2"/>
  <c r="AI14" i="2" s="1"/>
  <c r="AI22" i="2"/>
  <c r="AH25" i="2"/>
  <c r="AF16" i="2"/>
  <c r="AG25" i="2"/>
  <c r="AJ13" i="2" l="1"/>
  <c r="AJ14" i="2" s="1"/>
  <c r="AJ22" i="2"/>
  <c r="AK24" i="2"/>
  <c r="AK10" i="2"/>
  <c r="AI16" i="2"/>
  <c r="AI25" i="2"/>
  <c r="AF18" i="2"/>
  <c r="AF26" i="2"/>
  <c r="AH16" i="2"/>
  <c r="AG16" i="2"/>
  <c r="AK13" i="2" l="1"/>
  <c r="AK14" i="2" s="1"/>
  <c r="AK22" i="2"/>
  <c r="AI18" i="2"/>
  <c r="AI26" i="2"/>
  <c r="AG26" i="2"/>
  <c r="AL24" i="2"/>
  <c r="AL10" i="2"/>
  <c r="AH18" i="2"/>
  <c r="AH26" i="2"/>
  <c r="AJ25" i="2"/>
  <c r="AG18" i="2"/>
  <c r="J23" i="2"/>
  <c r="W23" i="2"/>
  <c r="J10" i="2"/>
  <c r="J22" i="2" s="1"/>
  <c r="AJ16" i="2" l="1"/>
  <c r="AJ18" i="2" s="1"/>
  <c r="AL13" i="2"/>
  <c r="AL14" i="2" s="1"/>
  <c r="AL22" i="2"/>
  <c r="AK25" i="2"/>
  <c r="J13" i="2"/>
  <c r="J25" i="2" s="1"/>
  <c r="W5" i="2"/>
  <c r="AK16" i="2" l="1"/>
  <c r="AK18" i="2" s="1"/>
  <c r="AJ26" i="2"/>
  <c r="AL16" i="2"/>
  <c r="AL25" i="2"/>
  <c r="J16" i="2"/>
  <c r="W10" i="2"/>
  <c r="W21" i="2"/>
  <c r="AK26" i="2" l="1"/>
  <c r="J18" i="2"/>
  <c r="J26" i="2"/>
  <c r="AL18" i="2"/>
  <c r="AL26" i="2"/>
  <c r="W13" i="2"/>
  <c r="W22" i="2"/>
  <c r="W16" i="2" l="1"/>
  <c r="W25" i="2"/>
  <c r="W18" i="2" l="1"/>
  <c r="AM16" i="2" l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EG16" i="2" s="1"/>
  <c r="EH16" i="2" s="1"/>
  <c r="EI16" i="2" s="1"/>
  <c r="EJ16" i="2" s="1"/>
  <c r="EK16" i="2" s="1"/>
  <c r="EL16" i="2" s="1"/>
  <c r="EM16" i="2" s="1"/>
  <c r="EN16" i="2" s="1"/>
  <c r="EO16" i="2" s="1"/>
  <c r="EP16" i="2" s="1"/>
  <c r="EQ16" i="2" s="1"/>
  <c r="ER16" i="2" s="1"/>
  <c r="ES16" i="2" s="1"/>
  <c r="ET16" i="2" s="1"/>
  <c r="EU16" i="2" s="1"/>
  <c r="AA5" i="2"/>
  <c r="AA10" i="2" s="1"/>
  <c r="AA21" i="2" l="1"/>
  <c r="AA22" i="2"/>
  <c r="AA13" i="2"/>
  <c r="AA25" i="2" l="1"/>
  <c r="AA16" i="2" l="1"/>
  <c r="AA26" i="2" l="1"/>
  <c r="AA18" i="2"/>
  <c r="AB21" i="2"/>
  <c r="AB4" i="2"/>
  <c r="AB10" i="2"/>
  <c r="AB13" i="2" s="1"/>
  <c r="AB14" i="2" l="1"/>
  <c r="AB25" i="2" s="1"/>
  <c r="AB22" i="2"/>
  <c r="AB16" i="2" l="1"/>
  <c r="AO24" i="2"/>
  <c r="AO26" i="2" s="1"/>
  <c r="AO27" i="2" s="1"/>
  <c r="AO29" i="2" s="1"/>
  <c r="AB26" i="2"/>
  <c r="AB18" i="2"/>
</calcChain>
</file>

<file path=xl/sharedStrings.xml><?xml version="1.0" encoding="utf-8"?>
<sst xmlns="http://schemas.openxmlformats.org/spreadsheetml/2006/main" count="64" uniqueCount="58">
  <si>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</si>
  <si>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</si>
  <si>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</si>
  <si>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</si>
  <si>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</si>
  <si>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</si>
  <si>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</si>
  <si>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</si>
  <si>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</si>
  <si>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</si>
  <si>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Revenue</t>
  </si>
  <si>
    <t>H118</t>
  </si>
  <si>
    <t>Cost of sales</t>
  </si>
  <si>
    <t>Gross profit</t>
  </si>
  <si>
    <t>H218</t>
  </si>
  <si>
    <t>H119</t>
  </si>
  <si>
    <t>H219</t>
  </si>
  <si>
    <t>H220</t>
  </si>
  <si>
    <t>H120</t>
  </si>
  <si>
    <t>S&amp;M</t>
  </si>
  <si>
    <t>G&amp;A</t>
  </si>
  <si>
    <t>Share of associates</t>
  </si>
  <si>
    <t>Other operating income</t>
  </si>
  <si>
    <t>Operating profit</t>
  </si>
  <si>
    <t>Interest expense</t>
  </si>
  <si>
    <t>Other financial expense</t>
  </si>
  <si>
    <t>Pretax profit</t>
  </si>
  <si>
    <t>Taxes</t>
  </si>
  <si>
    <t>MI</t>
  </si>
  <si>
    <t>Net profit</t>
  </si>
  <si>
    <t>EPS</t>
  </si>
  <si>
    <t>H117</t>
  </si>
  <si>
    <t>H217</t>
  </si>
  <si>
    <t>Revenue y/y</t>
  </si>
  <si>
    <t>Gross Margin</t>
  </si>
  <si>
    <t>Operating Margin</t>
  </si>
  <si>
    <t>S&amp;M Margin</t>
  </si>
  <si>
    <t>G&amp;A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</si>
  <si>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</si>
  <si>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</si>
  <si>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</si>
  <si>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</si>
  <si>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</si>
  <si>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</si>
  <si>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</si>
  <si>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</si>
  <si>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</si>
  <si>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H121</t>
  </si>
  <si>
    <t>H221</t>
  </si>
  <si>
    <t>H124</t>
  </si>
  <si>
    <t>H224</t>
  </si>
  <si>
    <t>H223</t>
  </si>
  <si>
    <t>H122</t>
  </si>
  <si>
    <t>H222</t>
  </si>
  <si>
    <t>H123</t>
  </si>
  <si>
    <t>Net Margin</t>
  </si>
  <si>
    <t>Fairly valued</t>
  </si>
  <si>
    <t>look at revenue drivers, and compare q3 revenue growth historically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</si>
</sst>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0</xdr:row>
      <xdr:rowOff>0</xdr:rowOff>
    </xdr:from>
    <xdr:to>
      <xdr:col>10</xdr:col>
      <xdr:colOff>22860</xdr:colOff>
      <xdr:row>33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199E1E7-FC8B-492B-AA56-5946978102E1}"/>
            </a:ext>
          </a:extLst>
        </xdr:cNvPr>
        <xdr:cNvCxnSpPr/>
      </xdr:nvCxnSpPr>
      <xdr:spPr>
        <a:xfrm>
          <a:off x="6918960" y="0"/>
          <a:ext cx="0" cy="6111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30480</xdr:colOff>
      <xdr:row>0</xdr:row>
      <xdr:rowOff>0</xdr:rowOff>
    </xdr:from>
    <xdr:to>
      <xdr:col>26</xdr:col>
      <xdr:colOff>30480</xdr:colOff>
      <xdr:row>33</xdr:row>
      <xdr:rowOff>99060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1FADA2E-6631-45D0-855A-D146212F281C}"/>
            </a:ext>
          </a:extLst>
        </xdr:cNvPr>
        <xdr:cNvCxnSpPr/>
      </xdr:nvCxnSpPr>
      <xdr:spPr>
        <a:xfrm>
          <a:off x="16680180" y="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</xdr:colOff>
      <xdr:row>0</xdr:row>
      <xdr:rowOff>7620</xdr:rowOff>
    </xdr:from>
    <xdr:to>
      <xdr:col>17</xdr:col>
      <xdr:colOff>22860</xdr:colOff>
      <xdr:row>33</xdr:row>
      <xdr:rowOff>106680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16F3FDB-057F-D43A-C1FF-8739D6C63CD3}"/>
            </a:ext>
          </a:extLst>
        </xdr:cNvPr>
        <xdr:cNvCxnSpPr/>
      </xdr:nvCxnSpPr>
      <xdr:spPr>
        <a:xfrm>
          <a:off x="11186160" y="762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1040-15BA-4F4D-8B08-C4FF8C3D6AAE}">
  <dimension ref="B2:I11"/>
  <sheetViews>
    <sheetView tabSelected="1" workbookViewId="0">
      <selection activeCell="I12" sqref="I12"/>
    </sheetView>
  </sheetViews>
  <sheetFormatPr defaultRowHeight="14.4" x14ac:dyDescent="0.3"/>
  <cols>
    <col min="4" max="4" width="11.44140625" bestFit="1" customWidth="1"/>
    <col min="5" max="7" width="15.77734375" style="2" customWidth="1"/>
  </cols>
  <sheetData>
    <row r="2" spans="2:9" x14ac:dyDescent="0.3">
      <c r="E2" s="2" t="s">
        <v>7</v>
      </c>
      <c r="F2" s="2" t="s">
        <v>8</v>
      </c>
      <c r="G2" s="2" t="s">
        <v>9</v>
      </c>
    </row>
    <row r="3" spans="2:9" x14ac:dyDescent="0.3">
      <c r="B3" s="1" t="s">
        <v>2</v>
      </c>
      <c r="C3" t="s">
        <v>0</v>
      </c>
      <c r="D3" s="4">
        <v>630.4</v>
      </c>
      <c r="E3" s="3">
        <v>45633</v>
      </c>
      <c r="F3" s="3">
        <f ca="1">TODAY()</f>
        <v>45633</v>
      </c>
      <c r="G3" s="3">
        <v>45680</v>
      </c>
    </row>
    <row r="4" spans="2:9" x14ac:dyDescent="0.3">
      <c r="C4" t="s">
        <v>1</v>
      </c>
      <c r="D4" s="5">
        <v>500.1</v>
      </c>
      <c r="E4" s="2" t="s">
        <v>49</v>
      </c>
    </row>
    <row r="5" spans="2:9" x14ac:dyDescent="0.3">
      <c r="C5" t="s">
        <v>2</v>
      </c>
      <c r="D5" s="5">
        <f>D3*D4</f>
        <v>315263.03999999998</v>
      </c>
    </row>
    <row r="6" spans="2:9" x14ac:dyDescent="0.3">
      <c r="C6" t="s">
        <v>3</v>
      </c>
      <c r="D6" s="5">
        <f>7155+1146+1388</f>
        <v>9689</v>
      </c>
      <c r="E6" s="2" t="s">
        <v>49</v>
      </c>
    </row>
    <row r="7" spans="2:9" x14ac:dyDescent="0.3">
      <c r="C7" t="s">
        <v>4</v>
      </c>
      <c r="D7" s="5">
        <f>11770+11540</f>
        <v>23310</v>
      </c>
      <c r="E7" s="2" t="s">
        <v>49</v>
      </c>
    </row>
    <row r="8" spans="2:9" x14ac:dyDescent="0.3">
      <c r="C8" t="s">
        <v>5</v>
      </c>
      <c r="D8" s="5">
        <f>D6-D7</f>
        <v>-13621</v>
      </c>
    </row>
    <row r="9" spans="2:9" x14ac:dyDescent="0.3">
      <c r="C9" t="s">
        <v>6</v>
      </c>
      <c r="D9" s="5">
        <f>D5-D8</f>
        <v>328884.03999999998</v>
      </c>
    </row>
    <row r="11" spans="2:9" x14ac:dyDescent="0.3">
      <c r="I11" t="s">
        <v>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93AB-EA7A-482B-87C4-5E6B096465CA}">
  <dimension ref="A2:EU30"/>
  <sheetViews>
    <sheetView workbookViewId="0">
      <pane xSplit="2" ySplit="2" topLeftCell="V8" activePane="bottomRight" state="frozen"/>
      <selection pane="topRight" activeCell="C1" sqref="C1"/>
      <selection pane="bottomLeft" activeCell="A3" sqref="A3"/>
      <selection pane="bottomRight" activeCell="V25" sqref="V25"/>
    </sheetView>
  </sheetViews>
  <sheetFormatPr defaultRowHeight="14.4" x14ac:dyDescent="0.3"/>
  <cols>
    <col min="2" max="2" width="20.5546875" bestFit="1" customWidth="1"/>
    <col min="3" max="4" width="8.88671875" customWidth="1"/>
    <col min="35" max="36" width="8.88671875" customWidth="1"/>
    <col min="40" max="40" width="11.88671875" bestFit="1" customWidth="1"/>
    <col min="41" max="41" width="16.21875" bestFit="1" customWidth="1"/>
  </cols>
  <sheetData>
    <row r="2" spans="2:151" x14ac:dyDescent="0.3">
      <c r="C2" s="6" t="s">
        <v>31</v>
      </c>
      <c r="D2" s="6" t="s">
        <v>32</v>
      </c>
      <c r="E2" s="6" t="s">
        <v>11</v>
      </c>
      <c r="F2" s="6" t="s">
        <v>14</v>
      </c>
      <c r="G2" s="6" t="s">
        <v>15</v>
      </c>
      <c r="H2" s="6" t="s">
        <v>16</v>
      </c>
      <c r="I2" s="6" t="s">
        <v>18</v>
      </c>
      <c r="J2" s="6" t="s">
        <v>17</v>
      </c>
      <c r="K2" s="6" t="s">
        <v>47</v>
      </c>
      <c r="L2" s="6" t="s">
        <v>48</v>
      </c>
      <c r="M2" s="6" t="s">
        <v>52</v>
      </c>
      <c r="N2" s="6" t="s">
        <v>53</v>
      </c>
      <c r="O2" s="6" t="s">
        <v>54</v>
      </c>
      <c r="P2" s="6" t="s">
        <v>51</v>
      </c>
      <c r="Q2" s="6" t="s">
        <v>49</v>
      </c>
      <c r="R2" s="6" t="s">
        <v>50</v>
      </c>
      <c r="T2">
        <v>2017</v>
      </c>
      <c r="U2">
        <v>2018</v>
      </c>
      <c r="V2">
        <v>2019</v>
      </c>
      <c r="W2">
        <v>2020</v>
      </c>
      <c r="X2">
        <v>2021</v>
      </c>
      <c r="Y2">
        <v>2022</v>
      </c>
      <c r="Z2">
        <v>2023</v>
      </c>
      <c r="AA2">
        <v>2024</v>
      </c>
      <c r="AB2">
        <v>2025</v>
      </c>
      <c r="AC2">
        <v>2026</v>
      </c>
      <c r="AD2">
        <v>2027</v>
      </c>
      <c r="AE2">
        <v>2028</v>
      </c>
      <c r="AF2">
        <v>2029</v>
      </c>
      <c r="AG2">
        <v>2030</v>
      </c>
      <c r="AH2">
        <v>2031</v>
      </c>
      <c r="AI2">
        <v>2032</v>
      </c>
      <c r="AJ2">
        <v>2033</v>
      </c>
      <c r="AK2">
        <v>2034</v>
      </c>
      <c r="AL2">
        <v>2035</v>
      </c>
    </row>
    <row r="3" spans="2:151" s="1" customFormat="1" x14ac:dyDescent="0.3">
      <c r="B3" s="1" t="s">
        <v>10</v>
      </c>
      <c r="C3" s="8">
        <v>19714</v>
      </c>
      <c r="D3" s="8">
        <f>T3-C3</f>
        <v>22922</v>
      </c>
      <c r="E3" s="8">
        <v>21750</v>
      </c>
      <c r="F3" s="8">
        <f>U3-E3</f>
        <v>25076</v>
      </c>
      <c r="G3" s="8">
        <v>25082</v>
      </c>
      <c r="H3" s="8">
        <f>V3-G3</f>
        <v>28588</v>
      </c>
      <c r="I3" s="8">
        <v>18393</v>
      </c>
      <c r="J3" s="8">
        <f>W3-I3</f>
        <v>26258</v>
      </c>
      <c r="K3" s="8">
        <v>28665</v>
      </c>
      <c r="L3" s="8">
        <f>X3-K3</f>
        <v>35550</v>
      </c>
      <c r="M3" s="8">
        <v>36729</v>
      </c>
      <c r="N3" s="8">
        <f>Y3-M3</f>
        <v>42455</v>
      </c>
      <c r="O3" s="8">
        <v>42240</v>
      </c>
      <c r="P3" s="8">
        <f>Z3-O3</f>
        <v>43913</v>
      </c>
      <c r="Q3" s="8">
        <v>41677</v>
      </c>
      <c r="R3" s="8">
        <f>P3*0.995</f>
        <v>43693.434999999998</v>
      </c>
      <c r="S3" s="8"/>
      <c r="T3" s="8">
        <v>42636</v>
      </c>
      <c r="U3" s="8">
        <v>46826</v>
      </c>
      <c r="V3" s="8">
        <v>53670</v>
      </c>
      <c r="W3" s="8">
        <v>44651</v>
      </c>
      <c r="X3" s="8">
        <v>64215</v>
      </c>
      <c r="Y3" s="8">
        <v>79184</v>
      </c>
      <c r="Z3" s="8">
        <v>86153</v>
      </c>
      <c r="AA3" s="8">
        <f>SUM(Q3:R3)</f>
        <v>85370.434999999998</v>
      </c>
      <c r="AB3" s="8">
        <f>AA3*1.04</f>
        <v>88785.252399999998</v>
      </c>
      <c r="AC3" s="8">
        <f>AB3*1.03</f>
        <v>91448.809972000003</v>
      </c>
      <c r="AD3" s="8">
        <f>AC3*1.02</f>
        <v>93277.786171440006</v>
      </c>
      <c r="AE3" s="8">
        <f>AD3*1.02</f>
        <v>95143.341894868805</v>
      </c>
      <c r="AF3" s="8">
        <f>AE3*1.02</f>
        <v>97046.208732766187</v>
      </c>
      <c r="AG3" s="8">
        <f t="shared" ref="AG3" si="0">AF3*1.02</f>
        <v>98987.132907421517</v>
      </c>
      <c r="AH3" s="8">
        <f>AG3*1.01</f>
        <v>99977.004236495733</v>
      </c>
      <c r="AI3" s="8">
        <f t="shared" ref="AI3:AL3" si="1">AH3*1.01</f>
        <v>100976.77427886068</v>
      </c>
      <c r="AJ3" s="8">
        <f t="shared" si="1"/>
        <v>101986.54202164929</v>
      </c>
      <c r="AK3" s="8">
        <f t="shared" si="1"/>
        <v>103006.40744186578</v>
      </c>
      <c r="AL3" s="8">
        <f t="shared" si="1"/>
        <v>104036.47151628444</v>
      </c>
      <c r="AM3" s="8"/>
      <c r="AN3" s="8"/>
      <c r="AO3" s="8"/>
      <c r="AP3" s="8"/>
      <c r="AQ3" s="8"/>
      <c r="AR3" s="8"/>
      <c r="AS3" s="8"/>
    </row>
    <row r="4" spans="2:151" x14ac:dyDescent="0.3">
      <c r="B4" t="s">
        <v>12</v>
      </c>
      <c r="C4" s="5">
        <v>6881</v>
      </c>
      <c r="D4" s="5">
        <f>T4-C4</f>
        <v>7902</v>
      </c>
      <c r="E4" s="5">
        <v>7130</v>
      </c>
      <c r="F4" s="5">
        <f>U4-E4</f>
        <v>8495</v>
      </c>
      <c r="G4" s="5">
        <v>8447</v>
      </c>
      <c r="H4" s="5">
        <f>V4-G4</f>
        <v>9676</v>
      </c>
      <c r="I4" s="5">
        <v>7002</v>
      </c>
      <c r="J4" s="5">
        <f>W4-I4</f>
        <v>8869</v>
      </c>
      <c r="K4" s="5">
        <v>9107</v>
      </c>
      <c r="L4" s="5">
        <f>X4-K4</f>
        <v>11248</v>
      </c>
      <c r="M4" s="5">
        <v>11418</v>
      </c>
      <c r="N4" s="5">
        <f>Y4-M4</f>
        <v>13570</v>
      </c>
      <c r="O4" s="5">
        <v>12923</v>
      </c>
      <c r="P4" s="5">
        <f>Z4-O4</f>
        <v>13953</v>
      </c>
      <c r="Q4" s="5">
        <v>12984</v>
      </c>
      <c r="R4" s="5">
        <f>R3-R5</f>
        <v>13544.96485</v>
      </c>
      <c r="S4" s="5"/>
      <c r="T4" s="5">
        <v>14783</v>
      </c>
      <c r="U4" s="5">
        <v>15625</v>
      </c>
      <c r="V4" s="5">
        <v>18123</v>
      </c>
      <c r="W4" s="5">
        <v>15871</v>
      </c>
      <c r="X4" s="5">
        <v>20355</v>
      </c>
      <c r="Y4" s="5">
        <v>24988</v>
      </c>
      <c r="Z4" s="5">
        <v>26876</v>
      </c>
      <c r="AA4" s="5">
        <f>SUM(Q4:R4)</f>
        <v>26528.96485</v>
      </c>
      <c r="AB4" s="5">
        <f t="shared" ref="AB4:AG4" si="2">AB3-AB5</f>
        <v>27523.428244000002</v>
      </c>
      <c r="AC4" s="5">
        <f t="shared" si="2"/>
        <v>28349.131091320007</v>
      </c>
      <c r="AD4" s="5">
        <f t="shared" si="2"/>
        <v>28916.113713146406</v>
      </c>
      <c r="AE4" s="5">
        <f t="shared" si="2"/>
        <v>29494.435987409335</v>
      </c>
      <c r="AF4" s="5">
        <f t="shared" si="2"/>
        <v>30084.324707157517</v>
      </c>
      <c r="AG4" s="5">
        <f t="shared" si="2"/>
        <v>30686.011201300673</v>
      </c>
      <c r="AH4" s="5">
        <f t="shared" ref="AH4:AL4" si="3">AH3-AH5</f>
        <v>30992.871313313677</v>
      </c>
      <c r="AI4" s="5">
        <f t="shared" si="3"/>
        <v>31302.800026446814</v>
      </c>
      <c r="AJ4" s="5">
        <f t="shared" si="3"/>
        <v>31615.828026711286</v>
      </c>
      <c r="AK4" s="5">
        <f t="shared" si="3"/>
        <v>31931.986306978404</v>
      </c>
      <c r="AL4" s="5">
        <f t="shared" si="3"/>
        <v>32251.306170048178</v>
      </c>
      <c r="AM4" s="5"/>
      <c r="AN4" s="5"/>
      <c r="AO4" s="5"/>
      <c r="AP4" s="5"/>
      <c r="AQ4" s="5"/>
      <c r="AR4" s="5"/>
      <c r="AS4" s="5"/>
    </row>
    <row r="5" spans="2:151" s="1" customFormat="1" x14ac:dyDescent="0.3">
      <c r="B5" s="1" t="s">
        <v>13</v>
      </c>
      <c r="C5" s="8">
        <f t="shared" ref="C5:J5" si="4">C3-C4</f>
        <v>12833</v>
      </c>
      <c r="D5" s="8">
        <f t="shared" si="4"/>
        <v>15020</v>
      </c>
      <c r="E5" s="8">
        <f t="shared" si="4"/>
        <v>14620</v>
      </c>
      <c r="F5" s="8">
        <f t="shared" si="4"/>
        <v>16581</v>
      </c>
      <c r="G5" s="8">
        <f t="shared" si="4"/>
        <v>16635</v>
      </c>
      <c r="H5" s="8">
        <f t="shared" si="4"/>
        <v>18912</v>
      </c>
      <c r="I5" s="8">
        <f t="shared" si="4"/>
        <v>11391</v>
      </c>
      <c r="J5" s="8">
        <f t="shared" si="4"/>
        <v>17389</v>
      </c>
      <c r="K5" s="8">
        <f t="shared" ref="K5:N5" si="5">K3-K4</f>
        <v>19558</v>
      </c>
      <c r="L5" s="8">
        <f>L3*0.66</f>
        <v>23463</v>
      </c>
      <c r="M5" s="8">
        <f t="shared" si="5"/>
        <v>25311</v>
      </c>
      <c r="N5" s="8">
        <f t="shared" si="5"/>
        <v>28885</v>
      </c>
      <c r="O5" s="8">
        <f t="shared" ref="O5:Q5" si="6">O3-O4</f>
        <v>29317</v>
      </c>
      <c r="P5" s="8">
        <f t="shared" ref="P5" si="7">P3-P4</f>
        <v>29960</v>
      </c>
      <c r="Q5" s="8">
        <f t="shared" si="6"/>
        <v>28693</v>
      </c>
      <c r="R5" s="8">
        <f>R3*0.69</f>
        <v>30148.470149999997</v>
      </c>
      <c r="S5" s="8"/>
      <c r="T5" s="8">
        <f>T3-T4</f>
        <v>27853</v>
      </c>
      <c r="U5" s="8">
        <f>U3-U4</f>
        <v>31201</v>
      </c>
      <c r="V5" s="8">
        <f>V3-V4</f>
        <v>35547</v>
      </c>
      <c r="W5" s="8">
        <f>W3-W4</f>
        <v>28780</v>
      </c>
      <c r="X5" s="8">
        <f>X3-X4</f>
        <v>43860</v>
      </c>
      <c r="Y5" s="8">
        <f t="shared" ref="Y5" si="8">Y3-Y4</f>
        <v>54196</v>
      </c>
      <c r="Z5" s="8">
        <f t="shared" ref="Z5:AA5" si="9">Z3-Z4</f>
        <v>59277</v>
      </c>
      <c r="AA5" s="8">
        <f t="shared" si="9"/>
        <v>58841.470149999994</v>
      </c>
      <c r="AB5" s="8">
        <f>AB3*0.69</f>
        <v>61261.824155999995</v>
      </c>
      <c r="AC5" s="8">
        <f t="shared" ref="AC5:AL5" si="10">AC3*0.69</f>
        <v>63099.678880679996</v>
      </c>
      <c r="AD5" s="8">
        <f t="shared" si="10"/>
        <v>64361.6724582936</v>
      </c>
      <c r="AE5" s="8">
        <f t="shared" si="10"/>
        <v>65648.90590745947</v>
      </c>
      <c r="AF5" s="8">
        <f t="shared" si="10"/>
        <v>66961.88402560867</v>
      </c>
      <c r="AG5" s="8">
        <f t="shared" si="10"/>
        <v>68301.121706120844</v>
      </c>
      <c r="AH5" s="8">
        <f t="shared" si="10"/>
        <v>68984.132923182056</v>
      </c>
      <c r="AI5" s="8">
        <f t="shared" si="10"/>
        <v>69673.974252413871</v>
      </c>
      <c r="AJ5" s="8">
        <f t="shared" si="10"/>
        <v>70370.713994938007</v>
      </c>
      <c r="AK5" s="8">
        <f t="shared" si="10"/>
        <v>71074.42113488738</v>
      </c>
      <c r="AL5" s="8">
        <f t="shared" si="10"/>
        <v>71785.165346236259</v>
      </c>
      <c r="AM5" s="8"/>
      <c r="AN5" s="8"/>
      <c r="AO5" s="8"/>
      <c r="AP5" s="8"/>
      <c r="AQ5" s="8"/>
      <c r="AR5" s="8"/>
      <c r="AS5" s="8"/>
    </row>
    <row r="6" spans="2:151" x14ac:dyDescent="0.3">
      <c r="B6" t="s">
        <v>19</v>
      </c>
      <c r="C6" s="5">
        <v>7704</v>
      </c>
      <c r="D6" s="5">
        <f>T6-C6</f>
        <v>8691</v>
      </c>
      <c r="E6" s="5">
        <v>8305</v>
      </c>
      <c r="F6" s="5">
        <f>U6-E6</f>
        <v>9450</v>
      </c>
      <c r="G6" s="5">
        <v>9563</v>
      </c>
      <c r="H6" s="5">
        <f>V6-G6</f>
        <v>10644</v>
      </c>
      <c r="I6" s="5">
        <v>8000</v>
      </c>
      <c r="J6" s="5">
        <f>W6-I6</f>
        <v>8792</v>
      </c>
      <c r="K6" s="5">
        <v>9808</v>
      </c>
      <c r="L6" s="5">
        <f>X6-K6</f>
        <v>12500</v>
      </c>
      <c r="M6" s="5">
        <v>12701</v>
      </c>
      <c r="N6" s="5">
        <f>Y6-M6</f>
        <v>15450</v>
      </c>
      <c r="O6" s="5">
        <v>14915</v>
      </c>
      <c r="P6" s="5">
        <f>Z6-O6</f>
        <v>15853</v>
      </c>
      <c r="Q6" s="5">
        <v>14999</v>
      </c>
      <c r="R6" s="5">
        <f>R3*0.36</f>
        <v>15729.636599999998</v>
      </c>
      <c r="S6" s="5"/>
      <c r="T6" s="5">
        <v>16395</v>
      </c>
      <c r="U6" s="5">
        <v>17755</v>
      </c>
      <c r="V6" s="5">
        <v>20207</v>
      </c>
      <c r="W6" s="5">
        <v>16792</v>
      </c>
      <c r="X6" s="5">
        <v>22308</v>
      </c>
      <c r="Y6" s="5">
        <v>28151</v>
      </c>
      <c r="Z6" s="5">
        <v>30768</v>
      </c>
      <c r="AA6" s="5">
        <f>SUM(Q6:R6)</f>
        <v>30728.636599999998</v>
      </c>
      <c r="AB6" s="5">
        <f>AB3*0.36</f>
        <v>31962.690863999997</v>
      </c>
      <c r="AC6" s="5">
        <f t="shared" ref="AC6:AL6" si="11">AC3*0.36</f>
        <v>32921.57158992</v>
      </c>
      <c r="AD6" s="5">
        <f t="shared" si="11"/>
        <v>33580.003021718403</v>
      </c>
      <c r="AE6" s="5">
        <f t="shared" si="11"/>
        <v>34251.603082152767</v>
      </c>
      <c r="AF6" s="5">
        <f t="shared" si="11"/>
        <v>34936.635143795829</v>
      </c>
      <c r="AG6" s="5">
        <f t="shared" si="11"/>
        <v>35635.367846671747</v>
      </c>
      <c r="AH6" s="5">
        <f t="shared" si="11"/>
        <v>35991.721525138462</v>
      </c>
      <c r="AI6" s="5">
        <f t="shared" si="11"/>
        <v>36351.638740389848</v>
      </c>
      <c r="AJ6" s="5">
        <f t="shared" si="11"/>
        <v>36715.155127793747</v>
      </c>
      <c r="AK6" s="5">
        <f t="shared" si="11"/>
        <v>37082.306679071684</v>
      </c>
      <c r="AL6" s="5">
        <f t="shared" si="11"/>
        <v>37453.129745862396</v>
      </c>
      <c r="AM6" s="5"/>
      <c r="AN6" s="5"/>
      <c r="AO6" s="5"/>
      <c r="AP6" s="5"/>
      <c r="AQ6" s="5"/>
      <c r="AR6" s="5"/>
      <c r="AS6" s="5"/>
    </row>
    <row r="7" spans="2:151" x14ac:dyDescent="0.3">
      <c r="B7" t="s">
        <v>20</v>
      </c>
      <c r="C7" s="5">
        <v>1488</v>
      </c>
      <c r="D7" s="5">
        <f>T7-C7</f>
        <v>1674</v>
      </c>
      <c r="E7" s="5">
        <v>1679</v>
      </c>
      <c r="F7" s="5">
        <f>U7-E7</f>
        <v>1787</v>
      </c>
      <c r="G7" s="5">
        <v>1789</v>
      </c>
      <c r="H7" s="5">
        <f>V7-G7</f>
        <v>2075</v>
      </c>
      <c r="I7" s="5">
        <v>1699</v>
      </c>
      <c r="J7" s="5">
        <f>W7-I7</f>
        <v>1942</v>
      </c>
      <c r="K7" s="5">
        <v>2108</v>
      </c>
      <c r="L7" s="5">
        <f>X7-K7</f>
        <v>2306</v>
      </c>
      <c r="M7" s="5">
        <v>2378</v>
      </c>
      <c r="N7" s="5">
        <f>Y7-M7</f>
        <v>2649</v>
      </c>
      <c r="O7" s="5">
        <v>2823</v>
      </c>
      <c r="P7" s="5">
        <f>Z7-O7</f>
        <v>2891</v>
      </c>
      <c r="Q7" s="5">
        <v>3035</v>
      </c>
      <c r="R7" s="5">
        <f>P7*1.07</f>
        <v>3093.3700000000003</v>
      </c>
      <c r="S7" s="5"/>
      <c r="T7" s="5">
        <v>3162</v>
      </c>
      <c r="U7" s="5">
        <v>3466</v>
      </c>
      <c r="V7" s="5">
        <v>3864</v>
      </c>
      <c r="W7" s="5">
        <v>3641</v>
      </c>
      <c r="X7" s="5">
        <v>4414</v>
      </c>
      <c r="Y7" s="5">
        <v>5027</v>
      </c>
      <c r="Z7" s="5">
        <v>5714</v>
      </c>
      <c r="AA7" s="5">
        <f>SUM(Q7:R7)</f>
        <v>6128.3700000000008</v>
      </c>
      <c r="AB7" s="5">
        <f>AA7*1.04</f>
        <v>6373.5048000000006</v>
      </c>
      <c r="AC7" s="5">
        <f>AB7*1.03</f>
        <v>6564.7099440000011</v>
      </c>
      <c r="AD7" s="5">
        <f t="shared" ref="AD7:AG7" si="12">AC7*1.02</f>
        <v>6696.0041428800014</v>
      </c>
      <c r="AE7" s="5">
        <f t="shared" si="12"/>
        <v>6829.9242257376018</v>
      </c>
      <c r="AF7" s="5">
        <f t="shared" si="12"/>
        <v>6966.522710252354</v>
      </c>
      <c r="AG7" s="5">
        <f t="shared" si="12"/>
        <v>7105.8531644574014</v>
      </c>
      <c r="AH7" s="5">
        <f>AG7*1.01</f>
        <v>7176.9116961019754</v>
      </c>
      <c r="AI7" s="5">
        <f t="shared" ref="AI7:AL7" si="13">AH7*1.01</f>
        <v>7248.6808130629952</v>
      </c>
      <c r="AJ7" s="5">
        <f t="shared" si="13"/>
        <v>7321.1676211936256</v>
      </c>
      <c r="AK7" s="5">
        <f t="shared" si="13"/>
        <v>7394.3792974055623</v>
      </c>
      <c r="AL7" s="5">
        <f t="shared" si="13"/>
        <v>7468.3230903796184</v>
      </c>
      <c r="AM7" s="5"/>
      <c r="AN7" s="5"/>
      <c r="AO7" s="5"/>
      <c r="AP7" s="5"/>
      <c r="AQ7" s="5"/>
      <c r="AR7" s="5"/>
      <c r="AS7" s="5"/>
    </row>
    <row r="8" spans="2:151" x14ac:dyDescent="0.3">
      <c r="B8" t="s">
        <v>21</v>
      </c>
      <c r="C8" s="5">
        <v>1</v>
      </c>
      <c r="D8" s="5">
        <f>T8-C8</f>
        <v>2</v>
      </c>
      <c r="E8" s="5">
        <v>-12</v>
      </c>
      <c r="F8" s="5">
        <f>U8-E8</f>
        <v>-11</v>
      </c>
      <c r="G8" s="5">
        <v>-12</v>
      </c>
      <c r="H8" s="5">
        <f>V8-G8</f>
        <v>-16</v>
      </c>
      <c r="I8" s="5">
        <v>21</v>
      </c>
      <c r="J8" s="5">
        <f>W8-I8</f>
        <v>21</v>
      </c>
      <c r="K8" s="5">
        <v>21</v>
      </c>
      <c r="L8" s="5">
        <f>X8-K8</f>
        <v>-34</v>
      </c>
      <c r="M8" s="5">
        <v>-3</v>
      </c>
      <c r="N8" s="5">
        <f>Y8-M8</f>
        <v>-34</v>
      </c>
      <c r="O8" s="5">
        <v>5</v>
      </c>
      <c r="P8" s="5">
        <f>Z8-O8</f>
        <v>-12</v>
      </c>
      <c r="Q8" s="5">
        <v>6</v>
      </c>
      <c r="R8" s="5">
        <v>0</v>
      </c>
      <c r="S8" s="5"/>
      <c r="T8" s="5">
        <v>3</v>
      </c>
      <c r="U8" s="5">
        <v>-23</v>
      </c>
      <c r="V8" s="5">
        <v>-28</v>
      </c>
      <c r="W8" s="5">
        <v>42</v>
      </c>
      <c r="X8" s="5">
        <v>-13</v>
      </c>
      <c r="Y8" s="5">
        <v>-37</v>
      </c>
      <c r="Z8" s="5">
        <v>-7</v>
      </c>
      <c r="AA8" s="5">
        <f>SUM(Q8:R8)</f>
        <v>6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/>
      <c r="AN8" s="5"/>
      <c r="AO8" s="5"/>
      <c r="AP8" s="5"/>
      <c r="AQ8" s="5"/>
      <c r="AR8" s="5"/>
      <c r="AS8" s="5"/>
    </row>
    <row r="9" spans="2:151" x14ac:dyDescent="0.3">
      <c r="B9" t="s">
        <v>22</v>
      </c>
      <c r="C9" s="5">
        <v>95</v>
      </c>
      <c r="D9" s="5">
        <f>T9-C9</f>
        <v>85</v>
      </c>
      <c r="E9" s="5">
        <v>70</v>
      </c>
      <c r="F9" s="5">
        <f>U9-E9</f>
        <v>56</v>
      </c>
      <c r="G9" s="5">
        <v>54</v>
      </c>
      <c r="H9" s="5">
        <f>V9-G9</f>
        <v>177</v>
      </c>
      <c r="I9" s="5">
        <v>154</v>
      </c>
      <c r="J9" s="5">
        <f>W9-I9</f>
        <v>179</v>
      </c>
      <c r="K9" s="5">
        <v>34</v>
      </c>
      <c r="L9" s="5">
        <f>X9-K9</f>
        <v>-38</v>
      </c>
      <c r="M9" s="5">
        <v>108</v>
      </c>
      <c r="N9" s="5">
        <f>Y9-M9</f>
        <v>-54</v>
      </c>
      <c r="O9" s="5">
        <v>10</v>
      </c>
      <c r="P9" s="5">
        <f>Z9-O9</f>
        <v>232</v>
      </c>
      <c r="Q9" s="5">
        <v>29</v>
      </c>
      <c r="R9" s="5">
        <v>0</v>
      </c>
      <c r="S9" s="5"/>
      <c r="T9" s="5">
        <v>180</v>
      </c>
      <c r="U9" s="5">
        <v>126</v>
      </c>
      <c r="V9" s="5">
        <v>231</v>
      </c>
      <c r="W9" s="5">
        <v>333</v>
      </c>
      <c r="X9" s="5">
        <v>-4</v>
      </c>
      <c r="Y9" s="5">
        <v>54</v>
      </c>
      <c r="Z9" s="5">
        <v>242</v>
      </c>
      <c r="AA9" s="5">
        <f>SUM(Q9:R9)</f>
        <v>29</v>
      </c>
      <c r="AB9" s="5">
        <f t="shared" ref="AB9:AG9" si="14">AA9*0.99</f>
        <v>28.71</v>
      </c>
      <c r="AC9" s="5">
        <f t="shared" si="14"/>
        <v>28.422900000000002</v>
      </c>
      <c r="AD9" s="5">
        <f t="shared" si="14"/>
        <v>28.138671000000002</v>
      </c>
      <c r="AE9" s="5">
        <f t="shared" si="14"/>
        <v>27.857284290000003</v>
      </c>
      <c r="AF9" s="5">
        <f t="shared" si="14"/>
        <v>27.578711447100002</v>
      </c>
      <c r="AG9" s="5">
        <f t="shared" si="14"/>
        <v>27.302924332629001</v>
      </c>
      <c r="AH9" s="5">
        <f t="shared" ref="AH9" si="15">AG9*0.99</f>
        <v>27.029895089302709</v>
      </c>
      <c r="AI9" s="5">
        <f t="shared" ref="AI9" si="16">AH9*0.99</f>
        <v>26.75959613840968</v>
      </c>
      <c r="AJ9" s="5">
        <f t="shared" ref="AJ9" si="17">AI9*0.99</f>
        <v>26.492000177025584</v>
      </c>
      <c r="AK9" s="5">
        <f t="shared" ref="AK9" si="18">AJ9*0.99</f>
        <v>26.227080175255328</v>
      </c>
      <c r="AL9" s="5">
        <f t="shared" ref="AL9" si="19">AK9*0.99</f>
        <v>25.964809373502774</v>
      </c>
      <c r="AM9" s="5"/>
      <c r="AN9" s="5"/>
      <c r="AO9" s="5"/>
      <c r="AP9" s="5"/>
      <c r="AQ9" s="5"/>
      <c r="AR9" s="5"/>
      <c r="AS9" s="5"/>
    </row>
    <row r="10" spans="2:151" s="1" customFormat="1" x14ac:dyDescent="0.3">
      <c r="B10" s="1" t="s">
        <v>23</v>
      </c>
      <c r="C10" s="8">
        <f t="shared" ref="C10:N10" si="20">C5-C6-C7-C8-C9</f>
        <v>3545</v>
      </c>
      <c r="D10" s="8">
        <f t="shared" si="20"/>
        <v>4568</v>
      </c>
      <c r="E10" s="8">
        <f t="shared" si="20"/>
        <v>4578</v>
      </c>
      <c r="F10" s="8">
        <f t="shared" si="20"/>
        <v>5299</v>
      </c>
      <c r="G10" s="8">
        <f t="shared" si="20"/>
        <v>5241</v>
      </c>
      <c r="H10" s="8">
        <f t="shared" si="20"/>
        <v>6032</v>
      </c>
      <c r="I10" s="8">
        <f t="shared" si="20"/>
        <v>1517</v>
      </c>
      <c r="J10" s="8">
        <f t="shared" si="20"/>
        <v>6455</v>
      </c>
      <c r="K10" s="8">
        <f t="shared" ref="K10" si="21">K5-K6-K7-K8-K9</f>
        <v>7587</v>
      </c>
      <c r="L10" s="8">
        <f t="shared" si="20"/>
        <v>8729</v>
      </c>
      <c r="M10" s="8">
        <f t="shared" si="20"/>
        <v>10127</v>
      </c>
      <c r="N10" s="8">
        <f t="shared" si="20"/>
        <v>10874</v>
      </c>
      <c r="O10" s="8">
        <f t="shared" ref="O10:R10" si="22">O5-O6-O7-O8-O9</f>
        <v>11564</v>
      </c>
      <c r="P10" s="8">
        <f t="shared" ref="P10" si="23">P5-P6-P7-P8-P9</f>
        <v>10996</v>
      </c>
      <c r="Q10" s="8">
        <f t="shared" si="22"/>
        <v>10624</v>
      </c>
      <c r="R10" s="8">
        <f t="shared" si="22"/>
        <v>11325.463549999999</v>
      </c>
      <c r="S10" s="8"/>
      <c r="T10" s="8">
        <f>T5-T6-T7-T8-T9</f>
        <v>8113</v>
      </c>
      <c r="U10" s="8">
        <f>U5-U6-U7-U8-U9</f>
        <v>9877</v>
      </c>
      <c r="V10" s="8">
        <f>V5-V6-V7-V8-V9</f>
        <v>11273</v>
      </c>
      <c r="W10" s="8">
        <f>W5-W6-W7-W8-W9</f>
        <v>7972</v>
      </c>
      <c r="X10" s="8">
        <f t="shared" ref="X10:AG10" si="24">X5-X6-X7-X8-X9</f>
        <v>17155</v>
      </c>
      <c r="Y10" s="8">
        <f t="shared" si="24"/>
        <v>21001</v>
      </c>
      <c r="Z10" s="8">
        <f t="shared" si="24"/>
        <v>22560</v>
      </c>
      <c r="AA10" s="8">
        <f t="shared" si="24"/>
        <v>21949.463549999993</v>
      </c>
      <c r="AB10" s="8">
        <f t="shared" si="24"/>
        <v>22896.918491999997</v>
      </c>
      <c r="AC10" s="8">
        <f t="shared" si="24"/>
        <v>23584.974446759992</v>
      </c>
      <c r="AD10" s="8">
        <f t="shared" si="24"/>
        <v>24057.526622695194</v>
      </c>
      <c r="AE10" s="8">
        <f t="shared" si="24"/>
        <v>24539.5213152791</v>
      </c>
      <c r="AF10" s="8">
        <f t="shared" si="24"/>
        <v>25031.147460113389</v>
      </c>
      <c r="AG10" s="8">
        <f t="shared" si="24"/>
        <v>25532.597770659067</v>
      </c>
      <c r="AH10" s="8">
        <f t="shared" ref="AH10:AL10" si="25">AH5-AH6-AH7-AH8-AH9</f>
        <v>25788.469806852318</v>
      </c>
      <c r="AI10" s="8">
        <f t="shared" si="25"/>
        <v>26046.895102822618</v>
      </c>
      <c r="AJ10" s="8">
        <f t="shared" si="25"/>
        <v>26307.899245773609</v>
      </c>
      <c r="AK10" s="8">
        <f t="shared" si="25"/>
        <v>26571.508078234878</v>
      </c>
      <c r="AL10" s="8">
        <f t="shared" si="25"/>
        <v>26837.747700620745</v>
      </c>
      <c r="AM10" s="8"/>
      <c r="AN10" s="8"/>
      <c r="AO10" s="8"/>
      <c r="AP10" s="8"/>
      <c r="AQ10" s="8"/>
      <c r="AR10" s="8"/>
      <c r="AS10" s="8"/>
    </row>
    <row r="11" spans="2:151" x14ac:dyDescent="0.3">
      <c r="B11" t="s">
        <v>24</v>
      </c>
      <c r="C11" s="5">
        <v>62</v>
      </c>
      <c r="D11" s="5">
        <f>T11-C11</f>
        <v>75</v>
      </c>
      <c r="E11" s="5">
        <v>56</v>
      </c>
      <c r="F11" s="5">
        <f>U11-E11</f>
        <v>61</v>
      </c>
      <c r="G11" s="5">
        <f>51+145</f>
        <v>196</v>
      </c>
      <c r="H11" s="5">
        <f>V11-G11</f>
        <v>201</v>
      </c>
      <c r="I11" s="5">
        <f>46+149</f>
        <v>195</v>
      </c>
      <c r="J11" s="5">
        <f>W11-I11</f>
        <v>121</v>
      </c>
      <c r="K11" s="5">
        <f>-22+127</f>
        <v>105</v>
      </c>
      <c r="L11" s="5">
        <f>X11-K11</f>
        <v>96</v>
      </c>
      <c r="M11" s="5">
        <f>-2+116</f>
        <v>114</v>
      </c>
      <c r="N11" s="5">
        <f>Y11-M11</f>
        <v>157</v>
      </c>
      <c r="O11" s="5">
        <f>171+160</f>
        <v>331</v>
      </c>
      <c r="P11" s="5">
        <f>Z11-O11</f>
        <v>429</v>
      </c>
      <c r="Q11" s="5">
        <f>235+241</f>
        <v>476</v>
      </c>
      <c r="R11" s="5">
        <f>P11*1.01</f>
        <v>433.29</v>
      </c>
      <c r="S11" s="5"/>
      <c r="T11" s="5">
        <v>137</v>
      </c>
      <c r="U11" s="5">
        <v>117</v>
      </c>
      <c r="V11" s="5">
        <f>107+290</f>
        <v>397</v>
      </c>
      <c r="W11" s="5">
        <f>35+281</f>
        <v>316</v>
      </c>
      <c r="X11" s="5">
        <f>-41+242</f>
        <v>201</v>
      </c>
      <c r="Y11" s="5">
        <f>17+254</f>
        <v>271</v>
      </c>
      <c r="Z11" s="5">
        <f>367+393</f>
        <v>760</v>
      </c>
      <c r="AA11" s="5">
        <f>SUM(Q11:R11)</f>
        <v>909.29</v>
      </c>
      <c r="AB11" s="5">
        <f>AA11*1.01</f>
        <v>918.38289999999995</v>
      </c>
      <c r="AC11" s="5">
        <f t="shared" ref="AC11:AL11" si="26">AB11*1.01</f>
        <v>927.56672900000001</v>
      </c>
      <c r="AD11" s="5">
        <f t="shared" si="26"/>
        <v>936.84239629000001</v>
      </c>
      <c r="AE11" s="5">
        <f t="shared" si="26"/>
        <v>946.21082025290002</v>
      </c>
      <c r="AF11" s="5">
        <f t="shared" si="26"/>
        <v>955.67292845542897</v>
      </c>
      <c r="AG11" s="5">
        <f t="shared" si="26"/>
        <v>965.22965773998328</v>
      </c>
      <c r="AH11" s="5">
        <f t="shared" si="26"/>
        <v>974.88195431738313</v>
      </c>
      <c r="AI11" s="5">
        <f t="shared" si="26"/>
        <v>984.63077386055693</v>
      </c>
      <c r="AJ11" s="5">
        <f t="shared" si="26"/>
        <v>994.47708159916249</v>
      </c>
      <c r="AK11" s="5">
        <f t="shared" si="26"/>
        <v>1004.4218524151541</v>
      </c>
      <c r="AL11" s="5">
        <f t="shared" si="26"/>
        <v>1014.4660709393057</v>
      </c>
      <c r="AM11" s="5"/>
      <c r="AN11" s="5"/>
      <c r="AO11" s="5"/>
      <c r="AP11" s="5"/>
      <c r="AQ11" s="5"/>
      <c r="AR11" s="5"/>
      <c r="AS11" s="5"/>
    </row>
    <row r="12" spans="2:151" x14ac:dyDescent="0.3">
      <c r="B12" t="s">
        <v>25</v>
      </c>
      <c r="C12" s="5">
        <v>-43</v>
      </c>
      <c r="D12" s="5">
        <f>T12-C12</f>
        <v>-35</v>
      </c>
      <c r="E12" s="5">
        <v>-34</v>
      </c>
      <c r="F12" s="5">
        <f>U12-E12</f>
        <v>305</v>
      </c>
      <c r="G12" s="5">
        <v>9</v>
      </c>
      <c r="H12" s="5">
        <f>V12-G12</f>
        <v>153</v>
      </c>
      <c r="I12" s="5">
        <v>267</v>
      </c>
      <c r="J12" s="5">
        <f>W12-I12</f>
        <v>25</v>
      </c>
      <c r="K12" s="5">
        <v>-117</v>
      </c>
      <c r="L12" s="5">
        <f>X12-K12</f>
        <v>-137</v>
      </c>
      <c r="M12" s="5">
        <v>684</v>
      </c>
      <c r="N12" s="5">
        <f>Y12-M12</f>
        <v>-67</v>
      </c>
      <c r="O12" s="5">
        <v>-798</v>
      </c>
      <c r="P12" s="5">
        <f>Z12-O12</f>
        <v>973</v>
      </c>
      <c r="Q12" s="5">
        <v>-221</v>
      </c>
      <c r="R12" s="5">
        <v>0</v>
      </c>
      <c r="S12" s="5"/>
      <c r="T12" s="5">
        <v>-78</v>
      </c>
      <c r="U12" s="5">
        <v>271</v>
      </c>
      <c r="V12" s="5">
        <v>162</v>
      </c>
      <c r="W12" s="5">
        <v>292</v>
      </c>
      <c r="X12" s="5">
        <v>-254</v>
      </c>
      <c r="Y12" s="5">
        <v>617</v>
      </c>
      <c r="Z12" s="5">
        <v>175</v>
      </c>
      <c r="AA12" s="5">
        <f>SUM(Q12:R12)</f>
        <v>-221</v>
      </c>
      <c r="AB12" s="5">
        <f t="shared" ref="AB12:AG12" si="27">AA12*0.95</f>
        <v>-209.95</v>
      </c>
      <c r="AC12" s="5">
        <f t="shared" si="27"/>
        <v>-199.45249999999999</v>
      </c>
      <c r="AD12" s="5">
        <f t="shared" si="27"/>
        <v>-189.47987499999996</v>
      </c>
      <c r="AE12" s="5">
        <f t="shared" si="27"/>
        <v>-180.00588124999996</v>
      </c>
      <c r="AF12" s="5">
        <f t="shared" si="27"/>
        <v>-171.00558718749994</v>
      </c>
      <c r="AG12" s="5">
        <f t="shared" si="27"/>
        <v>-162.45530782812494</v>
      </c>
      <c r="AH12" s="5">
        <f t="shared" ref="AH12" si="28">AG12*0.95</f>
        <v>-154.33254243671868</v>
      </c>
      <c r="AI12" s="5">
        <f t="shared" ref="AI12" si="29">AH12*0.95</f>
        <v>-146.61591531488276</v>
      </c>
      <c r="AJ12" s="5">
        <f t="shared" ref="AJ12" si="30">AI12*0.95</f>
        <v>-139.28511954913861</v>
      </c>
      <c r="AK12" s="5">
        <f t="shared" ref="AK12" si="31">AJ12*0.95</f>
        <v>-132.32086357168168</v>
      </c>
      <c r="AL12" s="5">
        <f t="shared" ref="AL12" si="32">AK12*0.95</f>
        <v>-125.70482039309759</v>
      </c>
      <c r="AM12" s="5"/>
      <c r="AN12" s="5"/>
      <c r="AO12" s="5"/>
      <c r="AP12" s="5"/>
      <c r="AQ12" s="5"/>
      <c r="AR12" s="5"/>
      <c r="AS12" s="5"/>
    </row>
    <row r="13" spans="2:151" s="1" customFormat="1" x14ac:dyDescent="0.3">
      <c r="B13" s="1" t="s">
        <v>26</v>
      </c>
      <c r="C13" s="8">
        <f t="shared" ref="C13:N13" si="33">C10-C11-C12</f>
        <v>3526</v>
      </c>
      <c r="D13" s="8">
        <f t="shared" si="33"/>
        <v>4528</v>
      </c>
      <c r="E13" s="8">
        <f t="shared" si="33"/>
        <v>4556</v>
      </c>
      <c r="F13" s="8">
        <f t="shared" si="33"/>
        <v>4933</v>
      </c>
      <c r="G13" s="8">
        <f t="shared" si="33"/>
        <v>5036</v>
      </c>
      <c r="H13" s="8">
        <f t="shared" si="33"/>
        <v>5678</v>
      </c>
      <c r="I13" s="8">
        <f t="shared" si="33"/>
        <v>1055</v>
      </c>
      <c r="J13" s="8">
        <f t="shared" si="33"/>
        <v>6309</v>
      </c>
      <c r="K13" s="8">
        <f t="shared" ref="K13" si="34">K10-K11-K12</f>
        <v>7599</v>
      </c>
      <c r="L13" s="8">
        <f t="shared" si="33"/>
        <v>8770</v>
      </c>
      <c r="M13" s="8">
        <f t="shared" si="33"/>
        <v>9329</v>
      </c>
      <c r="N13" s="8">
        <f t="shared" si="33"/>
        <v>10784</v>
      </c>
      <c r="O13" s="8">
        <f t="shared" ref="O13:R13" si="35">O10-O11-O12</f>
        <v>12031</v>
      </c>
      <c r="P13" s="8">
        <f t="shared" ref="P13" si="36">P10-P11-P12</f>
        <v>9594</v>
      </c>
      <c r="Q13" s="8">
        <f t="shared" si="35"/>
        <v>10369</v>
      </c>
      <c r="R13" s="8">
        <f t="shared" si="35"/>
        <v>10892.173549999998</v>
      </c>
      <c r="S13" s="8"/>
      <c r="T13" s="8">
        <f>T10-T11-T12</f>
        <v>8054</v>
      </c>
      <c r="U13" s="8">
        <f>U10-U11-U12</f>
        <v>9489</v>
      </c>
      <c r="V13" s="8">
        <f>V10-V11-V12</f>
        <v>10714</v>
      </c>
      <c r="W13" s="8">
        <f>W10-W11-W12</f>
        <v>7364</v>
      </c>
      <c r="X13" s="8">
        <f t="shared" ref="X13:AG13" si="37">X10-X11-X12</f>
        <v>17208</v>
      </c>
      <c r="Y13" s="8">
        <f t="shared" si="37"/>
        <v>20113</v>
      </c>
      <c r="Z13" s="8">
        <f t="shared" si="37"/>
        <v>21625</v>
      </c>
      <c r="AA13" s="8">
        <f t="shared" si="37"/>
        <v>21261.173549999992</v>
      </c>
      <c r="AB13" s="8">
        <f t="shared" si="37"/>
        <v>22188.485591999997</v>
      </c>
      <c r="AC13" s="8">
        <f t="shared" si="37"/>
        <v>22856.860217759993</v>
      </c>
      <c r="AD13" s="8">
        <f t="shared" si="37"/>
        <v>23310.164101405193</v>
      </c>
      <c r="AE13" s="8">
        <f t="shared" si="37"/>
        <v>23773.316376276198</v>
      </c>
      <c r="AF13" s="8">
        <f t="shared" si="37"/>
        <v>24246.480118845462</v>
      </c>
      <c r="AG13" s="8">
        <f t="shared" si="37"/>
        <v>24729.823420747209</v>
      </c>
      <c r="AH13" s="8">
        <f t="shared" ref="AH13:AL13" si="38">AH10-AH11-AH12</f>
        <v>24967.92039497165</v>
      </c>
      <c r="AI13" s="8">
        <f t="shared" si="38"/>
        <v>25208.880244276945</v>
      </c>
      <c r="AJ13" s="8">
        <f t="shared" si="38"/>
        <v>25452.707283723586</v>
      </c>
      <c r="AK13" s="8">
        <f t="shared" si="38"/>
        <v>25699.407089391403</v>
      </c>
      <c r="AL13" s="8">
        <f t="shared" si="38"/>
        <v>25948.986450074535</v>
      </c>
      <c r="AM13" s="8"/>
      <c r="AN13" s="8"/>
      <c r="AO13" s="8"/>
      <c r="AP13" s="8"/>
      <c r="AQ13" s="8"/>
      <c r="AR13" s="8"/>
      <c r="AS13" s="8"/>
    </row>
    <row r="14" spans="2:151" x14ac:dyDescent="0.3">
      <c r="B14" t="s">
        <v>27</v>
      </c>
      <c r="C14" s="5">
        <v>1185</v>
      </c>
      <c r="D14" s="5">
        <f>T14-C14</f>
        <v>1029</v>
      </c>
      <c r="E14" s="5">
        <v>1264</v>
      </c>
      <c r="F14" s="5">
        <f>U14-E14</f>
        <v>1235</v>
      </c>
      <c r="G14" s="5">
        <v>1431</v>
      </c>
      <c r="H14" s="5">
        <f>V14-G14</f>
        <v>1501</v>
      </c>
      <c r="I14" s="5">
        <v>511</v>
      </c>
      <c r="J14" s="5">
        <f>W14-I14</f>
        <v>1898</v>
      </c>
      <c r="K14" s="5">
        <v>2012</v>
      </c>
      <c r="L14" s="5">
        <f>X14-K14</f>
        <v>2498</v>
      </c>
      <c r="M14" s="5">
        <v>2385</v>
      </c>
      <c r="N14" s="5">
        <f>Y14-M14</f>
        <v>2977</v>
      </c>
      <c r="O14" s="5">
        <v>3129</v>
      </c>
      <c r="P14" s="5">
        <f>Z14-O14</f>
        <v>2544</v>
      </c>
      <c r="Q14" s="5">
        <v>2805</v>
      </c>
      <c r="R14" s="5">
        <f>R13*0.27</f>
        <v>2940.8868584999996</v>
      </c>
      <c r="S14" s="5"/>
      <c r="T14" s="5">
        <v>2214</v>
      </c>
      <c r="U14" s="5">
        <v>2499</v>
      </c>
      <c r="V14" s="5">
        <v>2932</v>
      </c>
      <c r="W14" s="5">
        <v>2409</v>
      </c>
      <c r="X14" s="5">
        <v>4510</v>
      </c>
      <c r="Y14" s="5">
        <v>5362</v>
      </c>
      <c r="Z14" s="5">
        <v>5673</v>
      </c>
      <c r="AA14" s="5">
        <f>SUM(Q14:R14)</f>
        <v>5745.8868585</v>
      </c>
      <c r="AB14" s="5">
        <f>AB13*0.27</f>
        <v>5990.8911098399994</v>
      </c>
      <c r="AC14" s="5">
        <f t="shared" ref="AC14:AL14" si="39">AC13*0.27</f>
        <v>6171.3522587951984</v>
      </c>
      <c r="AD14" s="5">
        <f t="shared" si="39"/>
        <v>6293.7443073794029</v>
      </c>
      <c r="AE14" s="5">
        <f t="shared" si="39"/>
        <v>6418.7954215945738</v>
      </c>
      <c r="AF14" s="5">
        <f t="shared" si="39"/>
        <v>6546.5496320882748</v>
      </c>
      <c r="AG14" s="5">
        <f t="shared" si="39"/>
        <v>6677.052323601747</v>
      </c>
      <c r="AH14" s="5">
        <f t="shared" si="39"/>
        <v>6741.3385066423461</v>
      </c>
      <c r="AI14" s="5">
        <f t="shared" si="39"/>
        <v>6806.3976659547752</v>
      </c>
      <c r="AJ14" s="5">
        <f t="shared" si="39"/>
        <v>6872.2309666053688</v>
      </c>
      <c r="AK14" s="5">
        <f t="shared" si="39"/>
        <v>6938.8399141356795</v>
      </c>
      <c r="AL14" s="5">
        <f t="shared" si="39"/>
        <v>7006.2263415201251</v>
      </c>
      <c r="AM14" s="5"/>
      <c r="AN14" s="5"/>
      <c r="AO14" s="5"/>
      <c r="AP14" s="5"/>
      <c r="AQ14" s="5"/>
      <c r="AR14" s="5"/>
      <c r="AS14" s="5"/>
    </row>
    <row r="15" spans="2:151" x14ac:dyDescent="0.3">
      <c r="B15" t="s">
        <v>28</v>
      </c>
      <c r="C15" s="5">
        <v>214</v>
      </c>
      <c r="D15" s="5">
        <f>T15-C15</f>
        <v>261</v>
      </c>
      <c r="E15" s="5">
        <v>288</v>
      </c>
      <c r="F15" s="5">
        <f>U15-E15</f>
        <v>348</v>
      </c>
      <c r="G15" s="5">
        <v>337</v>
      </c>
      <c r="H15" s="5">
        <f>V15-G15</f>
        <v>274</v>
      </c>
      <c r="I15" s="5">
        <v>22</v>
      </c>
      <c r="J15" s="5">
        <f>W15-I15</f>
        <v>231</v>
      </c>
      <c r="K15" s="5">
        <v>287</v>
      </c>
      <c r="L15" s="5">
        <f>X15-K15</f>
        <v>375</v>
      </c>
      <c r="M15" s="5">
        <v>412</v>
      </c>
      <c r="N15" s="5">
        <f>Y15-M15</f>
        <v>255</v>
      </c>
      <c r="O15" s="5">
        <v>421</v>
      </c>
      <c r="P15" s="5">
        <f>Z15-O15</f>
        <v>357</v>
      </c>
      <c r="Q15" s="5">
        <v>297</v>
      </c>
      <c r="R15" s="5">
        <f>R3*0.01</f>
        <v>436.93434999999999</v>
      </c>
      <c r="S15" s="5"/>
      <c r="T15" s="5">
        <v>475</v>
      </c>
      <c r="U15" s="5">
        <v>636</v>
      </c>
      <c r="V15" s="5">
        <v>611</v>
      </c>
      <c r="W15" s="5">
        <v>253</v>
      </c>
      <c r="X15" s="5">
        <v>662</v>
      </c>
      <c r="Y15" s="5">
        <v>667</v>
      </c>
      <c r="Z15" s="5">
        <v>778</v>
      </c>
      <c r="AA15" s="5">
        <f>SUM(Q15:R15)</f>
        <v>733.93434999999999</v>
      </c>
      <c r="AB15" s="5">
        <f>AB3*0.01</f>
        <v>887.85252400000002</v>
      </c>
      <c r="AC15" s="5">
        <f t="shared" ref="AC15:AL15" si="40">AC3*0.01</f>
        <v>914.48809972000004</v>
      </c>
      <c r="AD15" s="5">
        <f t="shared" si="40"/>
        <v>932.77786171440005</v>
      </c>
      <c r="AE15" s="5">
        <f t="shared" si="40"/>
        <v>951.43341894868809</v>
      </c>
      <c r="AF15" s="5">
        <f t="shared" si="40"/>
        <v>970.46208732766183</v>
      </c>
      <c r="AG15" s="5">
        <f t="shared" si="40"/>
        <v>989.87132907421517</v>
      </c>
      <c r="AH15" s="5">
        <f t="shared" si="40"/>
        <v>999.77004236495736</v>
      </c>
      <c r="AI15" s="5">
        <f t="shared" si="40"/>
        <v>1009.7677427886068</v>
      </c>
      <c r="AJ15" s="5">
        <f t="shared" si="40"/>
        <v>1019.8654202164929</v>
      </c>
      <c r="AK15" s="5">
        <f t="shared" si="40"/>
        <v>1030.0640744186578</v>
      </c>
      <c r="AL15" s="5">
        <f t="shared" si="40"/>
        <v>1040.3647151628443</v>
      </c>
      <c r="AM15" s="5"/>
      <c r="AN15" s="5"/>
      <c r="AO15" s="5"/>
      <c r="AP15" s="5"/>
      <c r="AQ15" s="5"/>
      <c r="AR15" s="5"/>
      <c r="AS15" s="5"/>
    </row>
    <row r="16" spans="2:151" s="1" customFormat="1" x14ac:dyDescent="0.3">
      <c r="B16" s="1" t="s">
        <v>29</v>
      </c>
      <c r="C16" s="8">
        <f t="shared" ref="C16:K16" si="41">C13-C14-C15</f>
        <v>2127</v>
      </c>
      <c r="D16" s="8">
        <f t="shared" si="41"/>
        <v>3238</v>
      </c>
      <c r="E16" s="8">
        <f t="shared" si="41"/>
        <v>3004</v>
      </c>
      <c r="F16" s="8">
        <f t="shared" si="41"/>
        <v>3350</v>
      </c>
      <c r="G16" s="8">
        <f t="shared" si="41"/>
        <v>3268</v>
      </c>
      <c r="H16" s="8">
        <f t="shared" si="41"/>
        <v>3903</v>
      </c>
      <c r="I16" s="8">
        <f t="shared" si="41"/>
        <v>522</v>
      </c>
      <c r="J16" s="8">
        <f t="shared" si="41"/>
        <v>4180</v>
      </c>
      <c r="K16" s="8">
        <f t="shared" si="41"/>
        <v>5300</v>
      </c>
      <c r="L16" s="8">
        <f t="shared" ref="L16:N16" si="42">L13-L14-L15</f>
        <v>5897</v>
      </c>
      <c r="M16" s="8">
        <f t="shared" si="42"/>
        <v>6532</v>
      </c>
      <c r="N16" s="8">
        <f t="shared" si="42"/>
        <v>7552</v>
      </c>
      <c r="O16" s="8">
        <f t="shared" ref="O16:Q16" si="43">O13-O14-O15</f>
        <v>8481</v>
      </c>
      <c r="P16" s="8">
        <f t="shared" ref="P16" si="44">P13-P14-P15</f>
        <v>6693</v>
      </c>
      <c r="Q16" s="8">
        <f t="shared" si="43"/>
        <v>7267</v>
      </c>
      <c r="R16" s="8">
        <f t="shared" ref="R16" si="45">R13-R14-R15</f>
        <v>7514.3523414999981</v>
      </c>
      <c r="S16" s="8"/>
      <c r="T16" s="8">
        <f>T13-T14-T15</f>
        <v>5365</v>
      </c>
      <c r="U16" s="8">
        <f>U13-U14-U15</f>
        <v>6354</v>
      </c>
      <c r="V16" s="8">
        <f>V13-V14-V15</f>
        <v>7171</v>
      </c>
      <c r="W16" s="8">
        <f>W13-W14-W15</f>
        <v>4702</v>
      </c>
      <c r="X16" s="8">
        <f t="shared" ref="X16:AG16" si="46">X13-X14-X15</f>
        <v>12036</v>
      </c>
      <c r="Y16" s="8">
        <f t="shared" si="46"/>
        <v>14084</v>
      </c>
      <c r="Z16" s="8">
        <f t="shared" si="46"/>
        <v>15174</v>
      </c>
      <c r="AA16" s="8">
        <f t="shared" si="46"/>
        <v>14781.352341499993</v>
      </c>
      <c r="AB16" s="8">
        <f t="shared" si="46"/>
        <v>15309.741958159999</v>
      </c>
      <c r="AC16" s="8">
        <f t="shared" si="46"/>
        <v>15771.019859244794</v>
      </c>
      <c r="AD16" s="8">
        <f t="shared" si="46"/>
        <v>16083.641932311391</v>
      </c>
      <c r="AE16" s="8">
        <f t="shared" si="46"/>
        <v>16403.087535732939</v>
      </c>
      <c r="AF16" s="8">
        <f t="shared" si="46"/>
        <v>16729.468399429526</v>
      </c>
      <c r="AG16" s="8">
        <f t="shared" si="46"/>
        <v>17062.899768071245</v>
      </c>
      <c r="AH16" s="8">
        <f t="shared" ref="AH16:AL16" si="47">AH13-AH14-AH15</f>
        <v>17226.811845964345</v>
      </c>
      <c r="AI16" s="8">
        <f t="shared" si="47"/>
        <v>17392.714835533559</v>
      </c>
      <c r="AJ16" s="8">
        <f t="shared" si="47"/>
        <v>17560.610896901722</v>
      </c>
      <c r="AK16" s="8">
        <f t="shared" si="47"/>
        <v>17730.503100837068</v>
      </c>
      <c r="AL16" s="8">
        <f t="shared" si="47"/>
        <v>17902.395393391565</v>
      </c>
      <c r="AM16" s="8">
        <f>AL16*(1+$AO$22)</f>
        <v>17723.371439457649</v>
      </c>
      <c r="AN16" s="8">
        <f t="shared" ref="AN16:CY16" si="48">AM16*(1+$AO$22)</f>
        <v>17546.137725063072</v>
      </c>
      <c r="AO16" s="8">
        <f t="shared" si="48"/>
        <v>17370.676347812441</v>
      </c>
      <c r="AP16" s="8">
        <f t="shared" si="48"/>
        <v>17196.969584334318</v>
      </c>
      <c r="AQ16" s="8">
        <f t="shared" si="48"/>
        <v>17024.999888490973</v>
      </c>
      <c r="AR16" s="8">
        <f t="shared" si="48"/>
        <v>16854.749889606064</v>
      </c>
      <c r="AS16" s="8">
        <f t="shared" si="48"/>
        <v>16686.202390710005</v>
      </c>
      <c r="AT16" s="8">
        <f t="shared" si="48"/>
        <v>16519.340366802906</v>
      </c>
      <c r="AU16" s="8">
        <f t="shared" si="48"/>
        <v>16354.146963134877</v>
      </c>
      <c r="AV16" s="8">
        <f t="shared" si="48"/>
        <v>16190.605493503528</v>
      </c>
      <c r="AW16" s="8">
        <f t="shared" si="48"/>
        <v>16028.699438568492</v>
      </c>
      <c r="AX16" s="8">
        <f t="shared" si="48"/>
        <v>15868.412444182806</v>
      </c>
      <c r="AY16" s="8">
        <f t="shared" si="48"/>
        <v>15709.728319740978</v>
      </c>
      <c r="AZ16" s="8">
        <f t="shared" si="48"/>
        <v>15552.631036543567</v>
      </c>
      <c r="BA16" s="8">
        <f t="shared" si="48"/>
        <v>15397.104726178131</v>
      </c>
      <c r="BB16" s="8">
        <f t="shared" si="48"/>
        <v>15243.133678916351</v>
      </c>
      <c r="BC16" s="8">
        <f t="shared" si="48"/>
        <v>15090.702342127188</v>
      </c>
      <c r="BD16" s="8">
        <f t="shared" si="48"/>
        <v>14939.795318705916</v>
      </c>
      <c r="BE16" s="8">
        <f t="shared" si="48"/>
        <v>14790.397365518857</v>
      </c>
      <c r="BF16" s="8">
        <f t="shared" si="48"/>
        <v>14642.493391863667</v>
      </c>
      <c r="BG16" s="8">
        <f t="shared" si="48"/>
        <v>14496.06845794503</v>
      </c>
      <c r="BH16" s="8">
        <f t="shared" si="48"/>
        <v>14351.10777336558</v>
      </c>
      <c r="BI16" s="8">
        <f t="shared" si="48"/>
        <v>14207.596695631924</v>
      </c>
      <c r="BJ16" s="8">
        <f t="shared" si="48"/>
        <v>14065.520728675605</v>
      </c>
      <c r="BK16" s="8">
        <f t="shared" si="48"/>
        <v>13924.865521388849</v>
      </c>
      <c r="BL16" s="8">
        <f t="shared" si="48"/>
        <v>13785.61686617496</v>
      </c>
      <c r="BM16" s="8">
        <f t="shared" si="48"/>
        <v>13647.760697513209</v>
      </c>
      <c r="BN16" s="8">
        <f t="shared" si="48"/>
        <v>13511.283090538078</v>
      </c>
      <c r="BO16" s="8">
        <f t="shared" si="48"/>
        <v>13376.170259632698</v>
      </c>
      <c r="BP16" s="8">
        <f t="shared" si="48"/>
        <v>13242.408557036371</v>
      </c>
      <c r="BQ16" s="8">
        <f t="shared" si="48"/>
        <v>13109.984471466007</v>
      </c>
      <c r="BR16" s="8">
        <f t="shared" si="48"/>
        <v>12978.884626751347</v>
      </c>
      <c r="BS16" s="8">
        <f t="shared" si="48"/>
        <v>12849.095780483834</v>
      </c>
      <c r="BT16" s="8">
        <f t="shared" si="48"/>
        <v>12720.604822678995</v>
      </c>
      <c r="BU16" s="8">
        <f t="shared" si="48"/>
        <v>12593.398774452206</v>
      </c>
      <c r="BV16" s="8">
        <f t="shared" si="48"/>
        <v>12467.464786707684</v>
      </c>
      <c r="BW16" s="8">
        <f t="shared" si="48"/>
        <v>12342.790138840606</v>
      </c>
      <c r="BX16" s="8">
        <f t="shared" si="48"/>
        <v>12219.3622374522</v>
      </c>
      <c r="BY16" s="8">
        <f t="shared" si="48"/>
        <v>12097.168615077679</v>
      </c>
      <c r="BZ16" s="8">
        <f t="shared" si="48"/>
        <v>11976.196928926902</v>
      </c>
      <c r="CA16" s="8">
        <f t="shared" si="48"/>
        <v>11856.434959637632</v>
      </c>
      <c r="CB16" s="8">
        <f t="shared" si="48"/>
        <v>11737.870610041256</v>
      </c>
      <c r="CC16" s="8">
        <f t="shared" si="48"/>
        <v>11620.491903940843</v>
      </c>
      <c r="CD16" s="8">
        <f t="shared" si="48"/>
        <v>11504.286984901435</v>
      </c>
      <c r="CE16" s="8">
        <f t="shared" si="48"/>
        <v>11389.244115052421</v>
      </c>
      <c r="CF16" s="8">
        <f t="shared" si="48"/>
        <v>11275.351673901896</v>
      </c>
      <c r="CG16" s="8">
        <f t="shared" si="48"/>
        <v>11162.598157162876</v>
      </c>
      <c r="CH16" s="8">
        <f t="shared" si="48"/>
        <v>11050.972175591247</v>
      </c>
      <c r="CI16" s="8">
        <f t="shared" si="48"/>
        <v>10940.462453835335</v>
      </c>
      <c r="CJ16" s="8">
        <f t="shared" si="48"/>
        <v>10831.05782929698</v>
      </c>
      <c r="CK16" s="8">
        <f t="shared" si="48"/>
        <v>10722.74725100401</v>
      </c>
      <c r="CL16" s="8">
        <f t="shared" si="48"/>
        <v>10615.51977849397</v>
      </c>
      <c r="CM16" s="8">
        <f t="shared" si="48"/>
        <v>10509.364580709031</v>
      </c>
      <c r="CN16" s="8">
        <f t="shared" si="48"/>
        <v>10404.270934901941</v>
      </c>
      <c r="CO16" s="8">
        <f t="shared" si="48"/>
        <v>10300.228225552921</v>
      </c>
      <c r="CP16" s="8">
        <f t="shared" si="48"/>
        <v>10197.225943297391</v>
      </c>
      <c r="CQ16" s="8">
        <f t="shared" si="48"/>
        <v>10095.253683864417</v>
      </c>
      <c r="CR16" s="8">
        <f t="shared" si="48"/>
        <v>9994.3011470257734</v>
      </c>
      <c r="CS16" s="8">
        <f t="shared" si="48"/>
        <v>9894.3581355555161</v>
      </c>
      <c r="CT16" s="8">
        <f t="shared" si="48"/>
        <v>9795.4145541999605</v>
      </c>
      <c r="CU16" s="8">
        <f t="shared" si="48"/>
        <v>9697.4604086579602</v>
      </c>
      <c r="CV16" s="8">
        <f t="shared" si="48"/>
        <v>9600.4858045713809</v>
      </c>
      <c r="CW16" s="8">
        <f t="shared" si="48"/>
        <v>9504.4809465256676</v>
      </c>
      <c r="CX16" s="8">
        <f t="shared" si="48"/>
        <v>9409.4361370604111</v>
      </c>
      <c r="CY16" s="8">
        <f t="shared" si="48"/>
        <v>9315.341775689807</v>
      </c>
      <c r="CZ16" s="8">
        <f t="shared" ref="CZ16:EU16" si="49">CY16*(1+$AO$22)</f>
        <v>9222.1883579329096</v>
      </c>
      <c r="DA16" s="8">
        <f t="shared" si="49"/>
        <v>9129.9664743535814</v>
      </c>
      <c r="DB16" s="8">
        <f t="shared" si="49"/>
        <v>9038.6668096100457</v>
      </c>
      <c r="DC16" s="8">
        <f t="shared" si="49"/>
        <v>8948.2801415139456</v>
      </c>
      <c r="DD16" s="8">
        <f t="shared" si="49"/>
        <v>8858.7973400988067</v>
      </c>
      <c r="DE16" s="8">
        <f t="shared" si="49"/>
        <v>8770.209366697818</v>
      </c>
      <c r="DF16" s="8">
        <f t="shared" si="49"/>
        <v>8682.5072730308402</v>
      </c>
      <c r="DG16" s="8">
        <f t="shared" si="49"/>
        <v>8595.6822003005309</v>
      </c>
      <c r="DH16" s="8">
        <f t="shared" si="49"/>
        <v>8509.7253782975258</v>
      </c>
      <c r="DI16" s="8">
        <f t="shared" si="49"/>
        <v>8424.628124514551</v>
      </c>
      <c r="DJ16" s="8">
        <f t="shared" si="49"/>
        <v>8340.3818432694061</v>
      </c>
      <c r="DK16" s="8">
        <f t="shared" si="49"/>
        <v>8256.9780248367115</v>
      </c>
      <c r="DL16" s="8">
        <f t="shared" si="49"/>
        <v>8174.4082445883441</v>
      </c>
      <c r="DM16" s="8">
        <f t="shared" si="49"/>
        <v>8092.6641621424606</v>
      </c>
      <c r="DN16" s="8">
        <f t="shared" si="49"/>
        <v>8011.7375205210355</v>
      </c>
      <c r="DO16" s="8">
        <f t="shared" si="49"/>
        <v>7931.6201453158255</v>
      </c>
      <c r="DP16" s="8">
        <f t="shared" si="49"/>
        <v>7852.3039438626674</v>
      </c>
      <c r="DQ16" s="8">
        <f t="shared" si="49"/>
        <v>7773.7809044240403</v>
      </c>
      <c r="DR16" s="8">
        <f t="shared" si="49"/>
        <v>7696.0430953797995</v>
      </c>
      <c r="DS16" s="8">
        <f t="shared" si="49"/>
        <v>7619.0826644260014</v>
      </c>
      <c r="DT16" s="8">
        <f t="shared" si="49"/>
        <v>7542.8918377817417</v>
      </c>
      <c r="DU16" s="8">
        <f t="shared" si="49"/>
        <v>7467.4629194039244</v>
      </c>
      <c r="DV16" s="8">
        <f t="shared" si="49"/>
        <v>7392.7882902098854</v>
      </c>
      <c r="DW16" s="8">
        <f t="shared" si="49"/>
        <v>7318.8604073077868</v>
      </c>
      <c r="DX16" s="8">
        <f t="shared" si="49"/>
        <v>7245.6718032347089</v>
      </c>
      <c r="DY16" s="8">
        <f t="shared" si="49"/>
        <v>7173.2150852023615</v>
      </c>
      <c r="DZ16" s="8">
        <f t="shared" si="49"/>
        <v>7101.4829343503379</v>
      </c>
      <c r="EA16" s="8">
        <f t="shared" si="49"/>
        <v>7030.4681050068348</v>
      </c>
      <c r="EB16" s="8">
        <f t="shared" si="49"/>
        <v>6960.1634239567666</v>
      </c>
      <c r="EC16" s="8">
        <f t="shared" si="49"/>
        <v>6890.5617897171987</v>
      </c>
      <c r="ED16" s="8">
        <f t="shared" si="49"/>
        <v>6821.6561718200264</v>
      </c>
      <c r="EE16" s="8">
        <f t="shared" si="49"/>
        <v>6753.4396101018265</v>
      </c>
      <c r="EF16" s="8">
        <f t="shared" si="49"/>
        <v>6685.905214000808</v>
      </c>
      <c r="EG16" s="8">
        <f t="shared" si="49"/>
        <v>6619.0461618607997</v>
      </c>
      <c r="EH16" s="8">
        <f t="shared" si="49"/>
        <v>6552.8557002421912</v>
      </c>
      <c r="EI16" s="8">
        <f t="shared" si="49"/>
        <v>6487.3271432397696</v>
      </c>
      <c r="EJ16" s="8">
        <f t="shared" si="49"/>
        <v>6422.4538718073718</v>
      </c>
      <c r="EK16" s="8">
        <f t="shared" si="49"/>
        <v>6358.2293330892981</v>
      </c>
      <c r="EL16" s="8">
        <f t="shared" si="49"/>
        <v>6294.6470397584053</v>
      </c>
      <c r="EM16" s="8">
        <f t="shared" si="49"/>
        <v>6231.7005693608207</v>
      </c>
      <c r="EN16" s="8">
        <f t="shared" si="49"/>
        <v>6169.3835636672129</v>
      </c>
      <c r="EO16" s="8">
        <f t="shared" si="49"/>
        <v>6107.6897280305411</v>
      </c>
      <c r="EP16" s="8">
        <f t="shared" si="49"/>
        <v>6046.6128307502358</v>
      </c>
      <c r="EQ16" s="8">
        <f t="shared" si="49"/>
        <v>5986.1467024427338</v>
      </c>
      <c r="ER16" s="8">
        <f t="shared" si="49"/>
        <v>5926.285235418306</v>
      </c>
      <c r="ES16" s="8">
        <f t="shared" si="49"/>
        <v>5867.0223830641226</v>
      </c>
      <c r="ET16" s="8">
        <f t="shared" si="49"/>
        <v>5808.352159233481</v>
      </c>
      <c r="EU16" s="8">
        <f t="shared" si="49"/>
        <v>5750.2686376411457</v>
      </c>
    </row>
    <row r="17" spans="1:45" x14ac:dyDescent="0.3">
      <c r="B17" t="s">
        <v>1</v>
      </c>
      <c r="C17" s="5">
        <v>503.6</v>
      </c>
      <c r="D17" s="5">
        <v>503.6</v>
      </c>
      <c r="E17" s="5">
        <v>503.6</v>
      </c>
      <c r="F17" s="5">
        <v>503.6</v>
      </c>
      <c r="G17" s="5">
        <v>503.6</v>
      </c>
      <c r="H17" s="5">
        <v>503.6</v>
      </c>
      <c r="I17" s="5">
        <v>503.6</v>
      </c>
      <c r="J17" s="5">
        <v>503.6</v>
      </c>
      <c r="K17" s="5">
        <v>500.5</v>
      </c>
      <c r="L17" s="5">
        <v>503.6</v>
      </c>
      <c r="M17" s="5">
        <v>500.5</v>
      </c>
      <c r="N17" s="5">
        <v>500.5</v>
      </c>
      <c r="O17" s="5">
        <v>500.5</v>
      </c>
      <c r="P17" s="5">
        <v>499.5</v>
      </c>
      <c r="Q17" s="5">
        <v>499.5</v>
      </c>
      <c r="R17" s="5">
        <v>499.5</v>
      </c>
      <c r="S17" s="5"/>
      <c r="T17" s="5">
        <v>503.6</v>
      </c>
      <c r="U17" s="5">
        <v>503.6</v>
      </c>
      <c r="V17" s="5">
        <v>503.6</v>
      </c>
      <c r="W17" s="5">
        <v>503.6</v>
      </c>
      <c r="X17" s="5">
        <v>503.6</v>
      </c>
      <c r="Y17" s="5">
        <v>500.5</v>
      </c>
      <c r="Z17" s="5">
        <v>499.5</v>
      </c>
      <c r="AA17" s="5">
        <v>499.5</v>
      </c>
      <c r="AB17" s="5">
        <v>499.5</v>
      </c>
      <c r="AC17" s="5">
        <v>499.5</v>
      </c>
      <c r="AD17" s="5">
        <v>499.5</v>
      </c>
      <c r="AE17" s="5">
        <v>499.5</v>
      </c>
      <c r="AF17" s="5">
        <v>499.5</v>
      </c>
      <c r="AG17" s="5">
        <v>499.5</v>
      </c>
      <c r="AH17" s="5">
        <v>499.5</v>
      </c>
      <c r="AI17" s="5">
        <v>499.5</v>
      </c>
      <c r="AJ17" s="5">
        <v>499.5</v>
      </c>
      <c r="AK17" s="5">
        <v>499.5</v>
      </c>
      <c r="AL17" s="5">
        <v>499.5</v>
      </c>
      <c r="AM17" s="5"/>
      <c r="AN17" s="5"/>
      <c r="AO17" s="5"/>
      <c r="AP17" s="5"/>
      <c r="AQ17" s="5"/>
      <c r="AR17" s="5"/>
      <c r="AS17" s="5"/>
    </row>
    <row r="18" spans="1:45" s="7" customFormat="1" x14ac:dyDescent="0.3">
      <c r="A18" s="1"/>
      <c r="B18" s="1" t="s">
        <v>30</v>
      </c>
      <c r="C18" s="7">
        <f t="shared" ref="C18:K18" si="50">C16/C17</f>
        <v>4.2235901509134228</v>
      </c>
      <c r="D18" s="7">
        <f t="shared" si="50"/>
        <v>6.4297061159650513</v>
      </c>
      <c r="E18" s="7">
        <f t="shared" si="50"/>
        <v>5.9650516282764094</v>
      </c>
      <c r="F18" s="7">
        <f t="shared" si="50"/>
        <v>6.6521048451151703</v>
      </c>
      <c r="G18" s="7">
        <f t="shared" si="50"/>
        <v>6.4892772041302615</v>
      </c>
      <c r="H18" s="7">
        <f t="shared" si="50"/>
        <v>7.7501985702938834</v>
      </c>
      <c r="I18" s="7">
        <f t="shared" si="50"/>
        <v>1.0365369340746624</v>
      </c>
      <c r="J18" s="7">
        <f t="shared" si="50"/>
        <v>8.3002382843526608</v>
      </c>
      <c r="K18" s="7">
        <f t="shared" si="50"/>
        <v>10.589410589410589</v>
      </c>
      <c r="L18" s="7">
        <f t="shared" ref="L18:N18" si="51">L16/L17</f>
        <v>11.70969023034154</v>
      </c>
      <c r="M18" s="7">
        <f t="shared" si="51"/>
        <v>13.05094905094905</v>
      </c>
      <c r="N18" s="7">
        <f t="shared" si="51"/>
        <v>15.08891108891109</v>
      </c>
      <c r="O18" s="7">
        <f t="shared" ref="O18:Q18" si="52">O16/O17</f>
        <v>16.945054945054945</v>
      </c>
      <c r="P18" s="7">
        <f t="shared" ref="P18" si="53">P16/P17</f>
        <v>13.3993993993994</v>
      </c>
      <c r="Q18" s="7">
        <f t="shared" si="52"/>
        <v>14.548548548548549</v>
      </c>
      <c r="R18" s="7">
        <f t="shared" ref="R18" si="54">R16/R17</f>
        <v>15.043748431431428</v>
      </c>
      <c r="T18" s="7">
        <f>T16/T17</f>
        <v>10.653296266878474</v>
      </c>
      <c r="U18" s="7">
        <f>U16/U17</f>
        <v>12.61715647339158</v>
      </c>
      <c r="V18" s="7">
        <f>V16/V17</f>
        <v>14.239475774424145</v>
      </c>
      <c r="W18" s="7">
        <f>W16/W17</f>
        <v>9.3367752184273236</v>
      </c>
      <c r="X18" s="7">
        <f t="shared" ref="X18:AG18" si="55">X16/X17</f>
        <v>23.899920571882447</v>
      </c>
      <c r="Y18" s="7">
        <f t="shared" si="55"/>
        <v>28.13986013986014</v>
      </c>
      <c r="Z18" s="7">
        <f t="shared" si="55"/>
        <v>30.378378378378379</v>
      </c>
      <c r="AA18" s="7">
        <f t="shared" si="55"/>
        <v>29.592296979979967</v>
      </c>
      <c r="AB18" s="7">
        <f t="shared" si="55"/>
        <v>30.650134050370369</v>
      </c>
      <c r="AC18" s="7">
        <f t="shared" si="55"/>
        <v>31.573613331821409</v>
      </c>
      <c r="AD18" s="7">
        <f t="shared" si="55"/>
        <v>32.199483347970755</v>
      </c>
      <c r="AE18" s="7">
        <f t="shared" si="55"/>
        <v>32.839014085551426</v>
      </c>
      <c r="AF18" s="7">
        <f t="shared" si="55"/>
        <v>33.49242922808714</v>
      </c>
      <c r="AG18" s="7">
        <f t="shared" si="55"/>
        <v>34.159959495638127</v>
      </c>
      <c r="AH18" s="7">
        <f t="shared" ref="AH18:AL18" si="56">AH16/AH17</f>
        <v>34.488111803732423</v>
      </c>
      <c r="AI18" s="7">
        <f t="shared" si="56"/>
        <v>34.820249920988104</v>
      </c>
      <c r="AJ18" s="7">
        <f t="shared" si="56"/>
        <v>35.156378171975419</v>
      </c>
      <c r="AK18" s="7">
        <f t="shared" si="56"/>
        <v>35.496502704378514</v>
      </c>
      <c r="AL18" s="7">
        <f t="shared" si="56"/>
        <v>35.840631418201333</v>
      </c>
    </row>
    <row r="20" spans="1:45" x14ac:dyDescent="0.3">
      <c r="B20" s="1" t="s">
        <v>33</v>
      </c>
      <c r="E20" s="9">
        <f>E3/C3-1</f>
        <v>0.10327685908491424</v>
      </c>
      <c r="F20" s="9">
        <f t="shared" ref="F20:J20" si="57">F3/D3-1</f>
        <v>9.397085769130098E-2</v>
      </c>
      <c r="G20" s="9">
        <f t="shared" si="57"/>
        <v>0.15319540229885065</v>
      </c>
      <c r="H20" s="9">
        <f t="shared" si="57"/>
        <v>0.14005423512521942</v>
      </c>
      <c r="I20" s="9">
        <f t="shared" si="57"/>
        <v>-0.26668527230683359</v>
      </c>
      <c r="J20" s="9">
        <f t="shared" si="57"/>
        <v>-8.1502728417517822E-2</v>
      </c>
      <c r="K20" s="9">
        <f t="shared" ref="K20" si="58">K3/I3-1</f>
        <v>0.55847333224596318</v>
      </c>
      <c r="L20" s="9">
        <f t="shared" ref="L20" si="59">L3/J3-1</f>
        <v>0.35387310533932514</v>
      </c>
      <c r="M20" s="9">
        <f t="shared" ref="M20" si="60">M3/K3-1</f>
        <v>0.28131868131868143</v>
      </c>
      <c r="N20" s="9">
        <f t="shared" ref="N20" si="61">N3/L3-1</f>
        <v>0.19423347398030932</v>
      </c>
      <c r="O20" s="9">
        <f t="shared" ref="O20" si="62">O3/M3-1</f>
        <v>0.15004492362982935</v>
      </c>
      <c r="P20" s="9">
        <f t="shared" ref="P20" si="63">P3/N3-1</f>
        <v>3.4342244729713922E-2</v>
      </c>
      <c r="Q20" s="9">
        <f t="shared" ref="Q20" si="64">Q3/O3-1</f>
        <v>-1.3328598484848464E-2</v>
      </c>
      <c r="R20" s="9">
        <f t="shared" ref="R20" si="65">R3/P3-1</f>
        <v>-5.0000000000000044E-3</v>
      </c>
      <c r="U20" s="9">
        <f>U3/T3-1</f>
        <v>9.827375926447135E-2</v>
      </c>
      <c r="V20" s="9">
        <f t="shared" ref="V20:AG20" si="66">V3/U3-1</f>
        <v>0.14615811728526884</v>
      </c>
      <c r="W20" s="9">
        <f t="shared" si="66"/>
        <v>-0.16804546301471956</v>
      </c>
      <c r="X20" s="9">
        <f t="shared" si="66"/>
        <v>0.43815368076862771</v>
      </c>
      <c r="Y20" s="9">
        <f t="shared" si="66"/>
        <v>0.23310752939344392</v>
      </c>
      <c r="Z20" s="9">
        <f t="shared" si="66"/>
        <v>8.8010204081632626E-2</v>
      </c>
      <c r="AA20" s="9">
        <f t="shared" si="66"/>
        <v>-9.0834329622880849E-3</v>
      </c>
      <c r="AB20" s="9">
        <f t="shared" si="66"/>
        <v>4.0000000000000036E-2</v>
      </c>
      <c r="AC20" s="9">
        <f t="shared" si="66"/>
        <v>3.0000000000000027E-2</v>
      </c>
      <c r="AD20" s="9">
        <f t="shared" si="66"/>
        <v>2.0000000000000018E-2</v>
      </c>
      <c r="AE20" s="9">
        <f t="shared" si="66"/>
        <v>2.0000000000000018E-2</v>
      </c>
      <c r="AF20" s="9">
        <f t="shared" si="66"/>
        <v>2.0000000000000018E-2</v>
      </c>
      <c r="AG20" s="9">
        <f t="shared" si="66"/>
        <v>2.0000000000000018E-2</v>
      </c>
      <c r="AH20" s="9">
        <f t="shared" ref="AH20" si="67">AH3/AG3-1</f>
        <v>1.0000000000000009E-2</v>
      </c>
      <c r="AI20" s="9">
        <f t="shared" ref="AI20" si="68">AI3/AH3-1</f>
        <v>1.0000000000000009E-2</v>
      </c>
      <c r="AJ20" s="9">
        <f t="shared" ref="AJ20" si="69">AJ3/AI3-1</f>
        <v>1.0000000000000009E-2</v>
      </c>
      <c r="AK20" s="9">
        <f t="shared" ref="AK20" si="70">AK3/AJ3-1</f>
        <v>1.0000000000000009E-2</v>
      </c>
      <c r="AL20" s="9">
        <f t="shared" ref="AL20" si="71">AL3/AK3-1</f>
        <v>1.0000000000000009E-2</v>
      </c>
    </row>
    <row r="21" spans="1:45" x14ac:dyDescent="0.3">
      <c r="B21" s="1" t="s">
        <v>34</v>
      </c>
      <c r="C21" s="9">
        <f>C5/C3</f>
        <v>0.65095870954651514</v>
      </c>
      <c r="D21" s="9">
        <f t="shared" ref="D21:J21" si="72">D5/D3</f>
        <v>0.65526568362272053</v>
      </c>
      <c r="E21" s="9">
        <f t="shared" si="72"/>
        <v>0.67218390804597705</v>
      </c>
      <c r="F21" s="9">
        <f t="shared" si="72"/>
        <v>0.66122986122188543</v>
      </c>
      <c r="G21" s="9">
        <f t="shared" si="72"/>
        <v>0.66322462323578657</v>
      </c>
      <c r="H21" s="9">
        <f t="shared" si="72"/>
        <v>0.66153630894081428</v>
      </c>
      <c r="I21" s="9">
        <f t="shared" si="72"/>
        <v>0.6193116946664492</v>
      </c>
      <c r="J21" s="9">
        <f t="shared" si="72"/>
        <v>0.66223627085078829</v>
      </c>
      <c r="K21" s="9">
        <f t="shared" ref="K21:L21" si="73">K5/K3</f>
        <v>0.68229548229548231</v>
      </c>
      <c r="L21" s="9">
        <f t="shared" si="73"/>
        <v>0.66</v>
      </c>
      <c r="M21" s="9">
        <f t="shared" ref="M21:R21" si="74">M5/M3</f>
        <v>0.68912848158131179</v>
      </c>
      <c r="N21" s="9">
        <f t="shared" si="74"/>
        <v>0.6803674478859969</v>
      </c>
      <c r="O21" s="9">
        <f t="shared" si="74"/>
        <v>0.69405776515151518</v>
      </c>
      <c r="P21" s="9">
        <f t="shared" si="74"/>
        <v>0.68225810124564479</v>
      </c>
      <c r="Q21" s="9">
        <f t="shared" si="74"/>
        <v>0.6884612616071214</v>
      </c>
      <c r="R21" s="9">
        <f t="shared" si="74"/>
        <v>0.69</v>
      </c>
      <c r="T21" s="9">
        <f t="shared" ref="T21:AG21" si="75">T5/T3</f>
        <v>0.65327422835162774</v>
      </c>
      <c r="U21" s="9">
        <f t="shared" si="75"/>
        <v>0.66631785760047835</v>
      </c>
      <c r="V21" s="9">
        <f t="shared" si="75"/>
        <v>0.66232532140860811</v>
      </c>
      <c r="W21" s="9">
        <f t="shared" si="75"/>
        <v>0.6445544332713713</v>
      </c>
      <c r="X21" s="9">
        <f t="shared" si="75"/>
        <v>0.68301798645176359</v>
      </c>
      <c r="Y21" s="9">
        <f t="shared" si="75"/>
        <v>0.68443119822186305</v>
      </c>
      <c r="Z21" s="9">
        <f t="shared" si="75"/>
        <v>0.68804336471161776</v>
      </c>
      <c r="AA21" s="9">
        <f t="shared" si="75"/>
        <v>0.68924880317173032</v>
      </c>
      <c r="AB21" s="9">
        <f t="shared" si="75"/>
        <v>0.69</v>
      </c>
      <c r="AC21" s="9">
        <f t="shared" si="75"/>
        <v>0.69</v>
      </c>
      <c r="AD21" s="9">
        <f t="shared" si="75"/>
        <v>0.69</v>
      </c>
      <c r="AE21" s="9">
        <f t="shared" si="75"/>
        <v>0.69</v>
      </c>
      <c r="AF21" s="9">
        <f t="shared" si="75"/>
        <v>0.69000000000000006</v>
      </c>
      <c r="AG21" s="9">
        <f t="shared" si="75"/>
        <v>0.69</v>
      </c>
      <c r="AH21" s="9">
        <f t="shared" ref="AH21:AL21" si="76">AH5/AH3</f>
        <v>0.69000000000000006</v>
      </c>
      <c r="AI21" s="9">
        <f t="shared" si="76"/>
        <v>0.69</v>
      </c>
      <c r="AJ21" s="9">
        <f t="shared" si="76"/>
        <v>0.69</v>
      </c>
      <c r="AK21" s="9">
        <f t="shared" si="76"/>
        <v>0.69</v>
      </c>
      <c r="AL21" s="9">
        <f t="shared" si="76"/>
        <v>0.69</v>
      </c>
    </row>
    <row r="22" spans="1:45" x14ac:dyDescent="0.3">
      <c r="B22" t="s">
        <v>35</v>
      </c>
      <c r="C22" s="9">
        <f>C10/C3</f>
        <v>0.17982144668763314</v>
      </c>
      <c r="D22" s="9">
        <f t="shared" ref="D22:J22" si="77">D10/D3</f>
        <v>0.19928453014571154</v>
      </c>
      <c r="E22" s="9">
        <f t="shared" si="77"/>
        <v>0.21048275862068966</v>
      </c>
      <c r="F22" s="9">
        <f t="shared" si="77"/>
        <v>0.21131759451268145</v>
      </c>
      <c r="G22" s="9">
        <f t="shared" si="77"/>
        <v>0.20895462881747867</v>
      </c>
      <c r="H22" s="9">
        <f t="shared" si="77"/>
        <v>0.21099762137959982</v>
      </c>
      <c r="I22" s="9">
        <f t="shared" si="77"/>
        <v>8.2477029304626762E-2</v>
      </c>
      <c r="J22" s="9">
        <f t="shared" si="77"/>
        <v>0.24582984233376495</v>
      </c>
      <c r="K22" s="9">
        <f t="shared" ref="K22:L22" si="78">K10/K3</f>
        <v>0.26467817896389323</v>
      </c>
      <c r="L22" s="9">
        <f t="shared" si="78"/>
        <v>0.24554149085794655</v>
      </c>
      <c r="M22" s="9">
        <f t="shared" ref="M22:R22" si="79">M10/M3</f>
        <v>0.27572218138255872</v>
      </c>
      <c r="N22" s="9">
        <f t="shared" si="79"/>
        <v>0.25613002002119889</v>
      </c>
      <c r="O22" s="9">
        <f t="shared" si="79"/>
        <v>0.27376893939393937</v>
      </c>
      <c r="P22" s="9">
        <f t="shared" si="79"/>
        <v>0.25040420832099836</v>
      </c>
      <c r="Q22" s="9">
        <f t="shared" si="79"/>
        <v>0.25491278163015574</v>
      </c>
      <c r="R22" s="9">
        <f t="shared" si="79"/>
        <v>0.25920286537325343</v>
      </c>
      <c r="T22" s="9">
        <f t="shared" ref="T22:AG22" si="80">T10/T3</f>
        <v>0.19028520499108734</v>
      </c>
      <c r="U22" s="9">
        <f t="shared" si="80"/>
        <v>0.21092982531072482</v>
      </c>
      <c r="V22" s="9">
        <f t="shared" si="80"/>
        <v>0.21004285448108814</v>
      </c>
      <c r="W22" s="9">
        <f t="shared" si="80"/>
        <v>0.17854023426127075</v>
      </c>
      <c r="X22" s="9">
        <f t="shared" si="80"/>
        <v>0.26714941991746477</v>
      </c>
      <c r="Y22" s="9">
        <f t="shared" si="80"/>
        <v>0.265217720751667</v>
      </c>
      <c r="Z22" s="9">
        <f t="shared" si="80"/>
        <v>0.26185971469362646</v>
      </c>
      <c r="AA22" s="9">
        <f t="shared" si="80"/>
        <v>0.25710848902198979</v>
      </c>
      <c r="AB22" s="9">
        <f t="shared" si="80"/>
        <v>0.25789101087243177</v>
      </c>
      <c r="AC22" s="9">
        <f t="shared" si="80"/>
        <v>0.25790356871763875</v>
      </c>
      <c r="AD22" s="9">
        <f t="shared" si="80"/>
        <v>0.25791271009025274</v>
      </c>
      <c r="AE22" s="9">
        <f t="shared" si="80"/>
        <v>0.25792158259896636</v>
      </c>
      <c r="AF22" s="9">
        <f t="shared" si="80"/>
        <v>0.25793019415154134</v>
      </c>
      <c r="AG22" s="9">
        <f t="shared" si="80"/>
        <v>0.25793855242315816</v>
      </c>
      <c r="AH22" s="9">
        <f t="shared" ref="AH22:AL22" si="81">AH10/AH3</f>
        <v>0.25794401426401675</v>
      </c>
      <c r="AI22" s="9">
        <f t="shared" si="81"/>
        <v>0.25794936794961065</v>
      </c>
      <c r="AJ22" s="9">
        <f t="shared" si="81"/>
        <v>0.25795461562162852</v>
      </c>
      <c r="AK22" s="9">
        <f t="shared" si="81"/>
        <v>0.25795975937934895</v>
      </c>
      <c r="AL22" s="9">
        <f t="shared" si="81"/>
        <v>0.2579648012804811</v>
      </c>
      <c r="AN22" t="s">
        <v>38</v>
      </c>
      <c r="AO22" s="9">
        <v>-0.01</v>
      </c>
    </row>
    <row r="23" spans="1:45" x14ac:dyDescent="0.3">
      <c r="B23" t="s">
        <v>36</v>
      </c>
      <c r="C23" s="9">
        <f>C6/C3</f>
        <v>0.39078827229380136</v>
      </c>
      <c r="D23" s="9">
        <f t="shared" ref="D23:J23" si="82">D6/D3</f>
        <v>0.37915539656225461</v>
      </c>
      <c r="E23" s="9">
        <f t="shared" si="82"/>
        <v>0.38183908045977011</v>
      </c>
      <c r="F23" s="9">
        <f t="shared" si="82"/>
        <v>0.37685436273727868</v>
      </c>
      <c r="G23" s="9">
        <f t="shared" si="82"/>
        <v>0.38126943624910292</v>
      </c>
      <c r="H23" s="9">
        <f t="shared" si="82"/>
        <v>0.37232405204981112</v>
      </c>
      <c r="I23" s="9">
        <f t="shared" si="82"/>
        <v>0.43494807807318003</v>
      </c>
      <c r="J23" s="9">
        <f t="shared" si="82"/>
        <v>0.33483128951176783</v>
      </c>
      <c r="K23" s="9">
        <f t="shared" ref="K23:L23" si="83">K6/K3</f>
        <v>0.34215942787371356</v>
      </c>
      <c r="L23" s="9">
        <f t="shared" si="83"/>
        <v>0.35161744022503516</v>
      </c>
      <c r="M23" s="9">
        <f t="shared" ref="M23:R23" si="84">M6/M3</f>
        <v>0.34580304391625144</v>
      </c>
      <c r="N23" s="9">
        <f t="shared" si="84"/>
        <v>0.36391473324696738</v>
      </c>
      <c r="O23" s="9">
        <f t="shared" si="84"/>
        <v>0.35310132575757575</v>
      </c>
      <c r="P23" s="9">
        <f t="shared" si="84"/>
        <v>0.36100926832600827</v>
      </c>
      <c r="Q23" s="9">
        <f t="shared" si="84"/>
        <v>0.35988674808647453</v>
      </c>
      <c r="R23" s="9">
        <f t="shared" si="84"/>
        <v>0.36</v>
      </c>
      <c r="T23" s="9">
        <f t="shared" ref="T23:AG23" si="85">T6/T3</f>
        <v>0.38453419645370107</v>
      </c>
      <c r="U23" s="9">
        <f t="shared" si="85"/>
        <v>0.37916969205142442</v>
      </c>
      <c r="V23" s="9">
        <f t="shared" si="85"/>
        <v>0.37650456493385503</v>
      </c>
      <c r="W23" s="9">
        <f t="shared" si="85"/>
        <v>0.37607220442991196</v>
      </c>
      <c r="X23" s="9">
        <f t="shared" si="85"/>
        <v>0.3473954683485167</v>
      </c>
      <c r="Y23" s="9">
        <f t="shared" si="85"/>
        <v>0.35551374014952514</v>
      </c>
      <c r="Z23" s="9">
        <f t="shared" si="85"/>
        <v>0.35713207897577565</v>
      </c>
      <c r="AA23" s="9">
        <f t="shared" si="85"/>
        <v>0.3599447115386023</v>
      </c>
      <c r="AB23" s="9">
        <f t="shared" si="85"/>
        <v>0.36</v>
      </c>
      <c r="AC23" s="9">
        <f t="shared" si="85"/>
        <v>0.36</v>
      </c>
      <c r="AD23" s="9">
        <f t="shared" si="85"/>
        <v>0.36</v>
      </c>
      <c r="AE23" s="9">
        <f t="shared" si="85"/>
        <v>0.36</v>
      </c>
      <c r="AF23" s="9">
        <f t="shared" si="85"/>
        <v>0.36000000000000004</v>
      </c>
      <c r="AG23" s="9">
        <f t="shared" si="85"/>
        <v>0.36</v>
      </c>
      <c r="AH23" s="9">
        <f t="shared" ref="AH23:AL23" si="86">AH6/AH3</f>
        <v>0.36</v>
      </c>
      <c r="AI23" s="9">
        <f t="shared" si="86"/>
        <v>0.36</v>
      </c>
      <c r="AJ23" s="9">
        <f t="shared" si="86"/>
        <v>0.36</v>
      </c>
      <c r="AK23" s="9">
        <f t="shared" si="86"/>
        <v>0.36000000000000004</v>
      </c>
      <c r="AL23" s="9">
        <f t="shared" si="86"/>
        <v>0.36</v>
      </c>
      <c r="AN23" t="s">
        <v>39</v>
      </c>
      <c r="AO23" s="9">
        <v>0.05</v>
      </c>
    </row>
    <row r="24" spans="1:45" x14ac:dyDescent="0.3">
      <c r="B24" t="s">
        <v>37</v>
      </c>
      <c r="E24" s="9">
        <f t="shared" ref="E24:J24" si="87">E7/C7-1</f>
        <v>0.12836021505376349</v>
      </c>
      <c r="F24" s="9">
        <f t="shared" si="87"/>
        <v>6.7502986857825631E-2</v>
      </c>
      <c r="G24" s="9">
        <f t="shared" si="87"/>
        <v>6.551518761167352E-2</v>
      </c>
      <c r="H24" s="9">
        <f t="shared" si="87"/>
        <v>0.1611639619473979</v>
      </c>
      <c r="I24" s="9">
        <f t="shared" si="87"/>
        <v>-5.0307434320849609E-2</v>
      </c>
      <c r="J24" s="9">
        <f t="shared" si="87"/>
        <v>-6.4096385542168677E-2</v>
      </c>
      <c r="K24" s="9">
        <f t="shared" ref="K24" si="88">K7/I7-1</f>
        <v>0.24072984108298989</v>
      </c>
      <c r="L24" s="9">
        <f t="shared" ref="L24" si="89">L7/J7-1</f>
        <v>0.18743563336766211</v>
      </c>
      <c r="M24" s="9">
        <f t="shared" ref="M24" si="90">M7/K7-1</f>
        <v>0.12808349146110065</v>
      </c>
      <c r="N24" s="9">
        <f t="shared" ref="N24" si="91">N7/L7-1</f>
        <v>0.14874241110147435</v>
      </c>
      <c r="O24" s="9">
        <f t="shared" ref="O24" si="92">O7/M7-1</f>
        <v>0.18713204373423054</v>
      </c>
      <c r="P24" s="9">
        <f t="shared" ref="P24" si="93">P7/N7-1</f>
        <v>9.1355228388070975E-2</v>
      </c>
      <c r="Q24" s="9">
        <f t="shared" ref="Q24" si="94">Q7/O7-1</f>
        <v>7.5097414098476811E-2</v>
      </c>
      <c r="R24" s="9">
        <f t="shared" ref="R24" si="95">R7/P7-1</f>
        <v>7.0000000000000062E-2</v>
      </c>
      <c r="U24" s="9">
        <f t="shared" ref="U24:AG24" si="96">U7/T7-1</f>
        <v>9.6141682479443435E-2</v>
      </c>
      <c r="V24" s="9">
        <f t="shared" si="96"/>
        <v>0.11482977495672242</v>
      </c>
      <c r="W24" s="9">
        <f t="shared" si="96"/>
        <v>-5.7712215320910976E-2</v>
      </c>
      <c r="X24" s="9">
        <f t="shared" si="96"/>
        <v>0.21230431200219724</v>
      </c>
      <c r="Y24" s="9">
        <f t="shared" si="96"/>
        <v>0.13887630267331219</v>
      </c>
      <c r="Z24" s="9">
        <f t="shared" si="96"/>
        <v>0.13666202506465086</v>
      </c>
      <c r="AA24" s="9">
        <f t="shared" si="96"/>
        <v>7.2518375918796174E-2</v>
      </c>
      <c r="AB24" s="9">
        <f t="shared" si="96"/>
        <v>4.0000000000000036E-2</v>
      </c>
      <c r="AC24" s="9">
        <f t="shared" si="96"/>
        <v>3.0000000000000027E-2</v>
      </c>
      <c r="AD24" s="9">
        <f t="shared" si="96"/>
        <v>2.0000000000000018E-2</v>
      </c>
      <c r="AE24" s="9">
        <f t="shared" si="96"/>
        <v>2.0000000000000018E-2</v>
      </c>
      <c r="AF24" s="9">
        <f t="shared" si="96"/>
        <v>2.0000000000000018E-2</v>
      </c>
      <c r="AG24" s="9">
        <f t="shared" si="96"/>
        <v>2.0000000000000018E-2</v>
      </c>
      <c r="AH24" s="9">
        <f t="shared" ref="AH24" si="97">AH7/AG7-1</f>
        <v>1.0000000000000009E-2</v>
      </c>
      <c r="AI24" s="9">
        <f t="shared" ref="AI24" si="98">AI7/AH7-1</f>
        <v>1.0000000000000009E-2</v>
      </c>
      <c r="AJ24" s="9">
        <f t="shared" ref="AJ24" si="99">AJ7/AI7-1</f>
        <v>1.0000000000000009E-2</v>
      </c>
      <c r="AK24" s="9">
        <f t="shared" ref="AK24" si="100">AK7/AJ7-1</f>
        <v>1.0000000000000009E-2</v>
      </c>
      <c r="AL24" s="9">
        <f t="shared" ref="AL24" si="101">AL7/AK7-1</f>
        <v>1.0000000000000009E-2</v>
      </c>
      <c r="AN24" t="s">
        <v>40</v>
      </c>
      <c r="AO24" s="5">
        <f>NPV(AO23,AA16:EU16)</f>
        <v>310540.06995326997</v>
      </c>
    </row>
    <row r="25" spans="1:45" x14ac:dyDescent="0.3">
      <c r="B25" t="s">
        <v>27</v>
      </c>
      <c r="C25" s="9">
        <f>C14/C13</f>
        <v>0.33607487237663075</v>
      </c>
      <c r="D25" s="9">
        <f t="shared" ref="D25:AG25" si="102">D14/D13</f>
        <v>0.22725265017667845</v>
      </c>
      <c r="E25" s="9">
        <f t="shared" si="102"/>
        <v>0.2774363476733977</v>
      </c>
      <c r="F25" s="9">
        <f t="shared" si="102"/>
        <v>0.25035475369957427</v>
      </c>
      <c r="G25" s="9">
        <f t="shared" si="102"/>
        <v>0.28415409054805402</v>
      </c>
      <c r="H25" s="9">
        <f t="shared" si="102"/>
        <v>0.26435364564987673</v>
      </c>
      <c r="I25" s="9">
        <f t="shared" si="102"/>
        <v>0.48436018957345972</v>
      </c>
      <c r="J25" s="9">
        <f t="shared" si="102"/>
        <v>0.3008400697416389</v>
      </c>
      <c r="K25" s="9">
        <f t="shared" ref="K25:L25" si="103">K14/K13</f>
        <v>0.26477168048427424</v>
      </c>
      <c r="L25" s="9">
        <f t="shared" si="103"/>
        <v>0.28483466362599774</v>
      </c>
      <c r="M25" s="9">
        <f t="shared" ref="M25:R25" si="104">M14/M13</f>
        <v>0.2556544109765248</v>
      </c>
      <c r="N25" s="9">
        <f t="shared" si="104"/>
        <v>0.27605712166172108</v>
      </c>
      <c r="O25" s="9">
        <f t="shared" si="104"/>
        <v>0.26007813149364145</v>
      </c>
      <c r="P25" s="9">
        <f t="shared" si="104"/>
        <v>0.26516572858036275</v>
      </c>
      <c r="Q25" s="9">
        <f t="shared" si="104"/>
        <v>0.27051788986401776</v>
      </c>
      <c r="R25" s="9">
        <f t="shared" si="104"/>
        <v>0.27</v>
      </c>
      <c r="T25" s="9">
        <f t="shared" si="102"/>
        <v>0.27489446237894216</v>
      </c>
      <c r="U25" s="9">
        <f t="shared" si="102"/>
        <v>0.26335757192538728</v>
      </c>
      <c r="V25" s="9">
        <f t="shared" si="102"/>
        <v>0.27366063095015869</v>
      </c>
      <c r="W25" s="9">
        <f t="shared" si="102"/>
        <v>0.32713199348180338</v>
      </c>
      <c r="X25" s="9">
        <f t="shared" si="102"/>
        <v>0.26208740120874013</v>
      </c>
      <c r="Y25" s="9">
        <f t="shared" si="102"/>
        <v>0.26659374533883556</v>
      </c>
      <c r="Z25" s="9">
        <f t="shared" si="102"/>
        <v>0.26233526011560693</v>
      </c>
      <c r="AA25" s="9">
        <f t="shared" si="102"/>
        <v>0.27025257307586403</v>
      </c>
      <c r="AB25" s="9">
        <f t="shared" si="102"/>
        <v>0.27</v>
      </c>
      <c r="AC25" s="9">
        <f t="shared" si="102"/>
        <v>0.27</v>
      </c>
      <c r="AD25" s="9">
        <f t="shared" si="102"/>
        <v>0.27</v>
      </c>
      <c r="AE25" s="9">
        <f t="shared" si="102"/>
        <v>0.27</v>
      </c>
      <c r="AF25" s="9">
        <f t="shared" si="102"/>
        <v>0.27</v>
      </c>
      <c r="AG25" s="9">
        <f t="shared" si="102"/>
        <v>0.27</v>
      </c>
      <c r="AH25" s="9">
        <f t="shared" ref="AH25:AL25" si="105">AH14/AH13</f>
        <v>0.27</v>
      </c>
      <c r="AI25" s="9">
        <f t="shared" si="105"/>
        <v>0.27</v>
      </c>
      <c r="AJ25" s="9">
        <f t="shared" si="105"/>
        <v>0.27</v>
      </c>
      <c r="AK25" s="9">
        <f t="shared" si="105"/>
        <v>0.27</v>
      </c>
      <c r="AL25" s="9">
        <f t="shared" si="105"/>
        <v>0.27</v>
      </c>
      <c r="AN25" t="s">
        <v>41</v>
      </c>
      <c r="AO25" s="5">
        <f>Main!D8</f>
        <v>-13621</v>
      </c>
    </row>
    <row r="26" spans="1:45" x14ac:dyDescent="0.3">
      <c r="B26" t="s">
        <v>55</v>
      </c>
      <c r="C26" s="9">
        <f>C16/C3</f>
        <v>0.1078928680125799</v>
      </c>
      <c r="D26" s="9">
        <f t="shared" ref="D26:AL26" si="106">D16/D3</f>
        <v>0.14126167001134282</v>
      </c>
      <c r="E26" s="9">
        <f t="shared" si="106"/>
        <v>0.13811494252873563</v>
      </c>
      <c r="F26" s="9">
        <f t="shared" si="106"/>
        <v>0.13359387462115169</v>
      </c>
      <c r="G26" s="9">
        <f t="shared" si="106"/>
        <v>0.1302926401403397</v>
      </c>
      <c r="H26" s="9">
        <f t="shared" si="106"/>
        <v>0.13652581502728417</v>
      </c>
      <c r="I26" s="9">
        <f t="shared" si="106"/>
        <v>2.8380362094274997E-2</v>
      </c>
      <c r="J26" s="9">
        <f t="shared" si="106"/>
        <v>0.15918958031837915</v>
      </c>
      <c r="K26" s="9">
        <f t="shared" si="106"/>
        <v>0.18489447060875633</v>
      </c>
      <c r="L26" s="9">
        <f t="shared" si="106"/>
        <v>0.16587904360056258</v>
      </c>
      <c r="M26" s="9">
        <f t="shared" si="106"/>
        <v>0.17784312123934765</v>
      </c>
      <c r="N26" s="9">
        <f t="shared" si="106"/>
        <v>0.17788246378518432</v>
      </c>
      <c r="O26" s="9">
        <f t="shared" si="106"/>
        <v>0.20078124999999999</v>
      </c>
      <c r="P26" s="9">
        <f t="shared" si="106"/>
        <v>0.15241500239109149</v>
      </c>
      <c r="Q26" s="9">
        <f t="shared" si="106"/>
        <v>0.17436475754013006</v>
      </c>
      <c r="R26" s="9">
        <f t="shared" si="106"/>
        <v>0.17197897902739848</v>
      </c>
      <c r="T26" s="9">
        <f t="shared" si="106"/>
        <v>0.12583262970259873</v>
      </c>
      <c r="U26" s="9">
        <f t="shared" si="106"/>
        <v>0.13569384529961986</v>
      </c>
      <c r="V26" s="9">
        <f t="shared" si="106"/>
        <v>0.13361281907956027</v>
      </c>
      <c r="W26" s="9">
        <f t="shared" si="106"/>
        <v>0.10530559225997178</v>
      </c>
      <c r="X26" s="9">
        <f t="shared" si="106"/>
        <v>0.18743284279373978</v>
      </c>
      <c r="Y26" s="9">
        <f t="shared" si="106"/>
        <v>0.17786421499292787</v>
      </c>
      <c r="Z26" s="9">
        <f t="shared" si="106"/>
        <v>0.17612851554792056</v>
      </c>
      <c r="AA26" s="9">
        <f t="shared" si="106"/>
        <v>0.17314369244457983</v>
      </c>
      <c r="AB26" s="9">
        <f t="shared" si="106"/>
        <v>0.17243564155436245</v>
      </c>
      <c r="AC26" s="9">
        <f t="shared" si="106"/>
        <v>0.172457354711052</v>
      </c>
      <c r="AD26" s="9">
        <f t="shared" si="106"/>
        <v>0.17242735481254287</v>
      </c>
      <c r="AE26" s="9">
        <f t="shared" si="106"/>
        <v>0.17240394555257446</v>
      </c>
      <c r="AF26" s="9">
        <f t="shared" si="106"/>
        <v>0.17238662507153743</v>
      </c>
      <c r="AG26" s="9">
        <f t="shared" si="106"/>
        <v>0.1723749265879784</v>
      </c>
      <c r="AH26" s="9">
        <f t="shared" si="106"/>
        <v>0.17230774194047963</v>
      </c>
      <c r="AI26" s="9">
        <f t="shared" si="106"/>
        <v>0.17224470636684514</v>
      </c>
      <c r="AJ26" s="9">
        <f t="shared" si="106"/>
        <v>0.17218557026057443</v>
      </c>
      <c r="AK26" s="9">
        <f t="shared" si="106"/>
        <v>0.17213009890519398</v>
      </c>
      <c r="AL26" s="9">
        <f t="shared" si="106"/>
        <v>0.1720780715884753</v>
      </c>
      <c r="AN26" t="s">
        <v>42</v>
      </c>
      <c r="AO26" s="5">
        <f>AO24+AO25</f>
        <v>296919.06995326997</v>
      </c>
    </row>
    <row r="27" spans="1:45" x14ac:dyDescent="0.3">
      <c r="I27" s="9"/>
      <c r="AN27" t="s">
        <v>43</v>
      </c>
      <c r="AO27" s="4">
        <f>AO26/AG17</f>
        <v>594.43257247901897</v>
      </c>
    </row>
    <row r="28" spans="1:45" x14ac:dyDescent="0.3">
      <c r="AN28" t="s">
        <v>44</v>
      </c>
      <c r="AO28" s="4">
        <f>Main!D3</f>
        <v>630.4</v>
      </c>
    </row>
    <row r="29" spans="1:45" x14ac:dyDescent="0.3">
      <c r="AN29" s="1" t="s">
        <v>45</v>
      </c>
      <c r="AO29" s="10">
        <f>AO27/AO28-1</f>
        <v>-5.705492944318058E-2</v>
      </c>
    </row>
    <row r="30" spans="1:45" x14ac:dyDescent="0.3">
      <c r="AN30" t="s">
        <v>46</v>
      </c>
      <c r="AO30" s="6" t="s">
        <v>56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2021-01-24T11:29:38Z</dcterms:created>
  <dcterms:modified xsi:type="dcterms:W3CDTF">2024-12-07T17:45:48Z</dcterms:modified>
</cp:coreProperties>
</file>