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CF54BFD-9033-452D-AD10-AC6B45D89F2B}" xr6:coauthVersionLast="47" xr6:coauthVersionMax="47" xr10:uidLastSave="{00000000-0000-0000-0000-000000000000}"/>
  <bookViews>
    <workbookView xWindow="-108" yWindow="-108" windowWidth="23256" windowHeight="12576" activeTab="1" xr2:uid="{BF7B656F-DA61-4C43-85CF-EF47F68DD4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9" i="2" l="1"/>
  <c r="Y14" i="2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F9" i="2"/>
  <c r="AG9" i="2" s="1"/>
  <c r="AH9" i="2" s="1"/>
  <c r="AI9" i="2" s="1"/>
  <c r="AE9" i="2"/>
  <c r="AA9" i="2"/>
  <c r="AB9" i="2" s="1"/>
  <c r="Z9" i="2"/>
  <c r="Y9" i="2"/>
  <c r="AI8" i="2"/>
  <c r="AH8" i="2"/>
  <c r="AG8" i="2"/>
  <c r="AF8" i="2"/>
  <c r="AE8" i="2"/>
  <c r="AD8" i="2"/>
  <c r="AC8" i="2"/>
  <c r="AB8" i="2"/>
  <c r="AA8" i="2"/>
  <c r="Z8" i="2"/>
  <c r="Y8" i="2"/>
  <c r="AA4" i="2"/>
  <c r="Z4" i="2"/>
  <c r="AA3" i="2"/>
  <c r="Z3" i="2"/>
  <c r="N30" i="2"/>
  <c r="M30" i="2"/>
  <c r="L30" i="2"/>
  <c r="K30" i="2"/>
  <c r="N27" i="2"/>
  <c r="M27" i="2"/>
  <c r="L27" i="2"/>
  <c r="K27" i="2"/>
  <c r="Y6" i="2"/>
  <c r="Y5" i="2"/>
  <c r="Y4" i="2"/>
  <c r="Y3" i="2"/>
  <c r="P6" i="2"/>
  <c r="O6" i="2"/>
  <c r="P4" i="2"/>
  <c r="O4" i="2"/>
  <c r="O23" i="2" s="1"/>
  <c r="P5" i="2"/>
  <c r="O5" i="2"/>
  <c r="O24" i="2" s="1"/>
  <c r="P3" i="2"/>
  <c r="O3" i="2"/>
  <c r="O22" i="2" s="1"/>
  <c r="H16" i="2"/>
  <c r="H17" i="2"/>
  <c r="H14" i="2"/>
  <c r="H13" i="2"/>
  <c r="H12" i="2"/>
  <c r="J17" i="2"/>
  <c r="J16" i="2"/>
  <c r="J14" i="2"/>
  <c r="J13" i="2"/>
  <c r="J12" i="2"/>
  <c r="J5" i="2"/>
  <c r="J4" i="2"/>
  <c r="J3" i="2"/>
  <c r="J22" i="2" s="1"/>
  <c r="L17" i="2"/>
  <c r="L16" i="2"/>
  <c r="L14" i="2"/>
  <c r="L13" i="2"/>
  <c r="L12" i="2"/>
  <c r="L5" i="2"/>
  <c r="L4" i="2"/>
  <c r="L3" i="2"/>
  <c r="N17" i="2"/>
  <c r="N16" i="2"/>
  <c r="N14" i="2"/>
  <c r="N13" i="2"/>
  <c r="N12" i="2"/>
  <c r="N5" i="2"/>
  <c r="N4" i="2"/>
  <c r="N3" i="2"/>
  <c r="H5" i="2"/>
  <c r="H4" i="2"/>
  <c r="H3" i="2"/>
  <c r="I15" i="2"/>
  <c r="I18" i="2" s="1"/>
  <c r="I20" i="2" s="1"/>
  <c r="I6" i="2"/>
  <c r="I27" i="2" s="1"/>
  <c r="I24" i="2"/>
  <c r="K15" i="2"/>
  <c r="K29" i="2" s="1"/>
  <c r="O25" i="2"/>
  <c r="M25" i="2"/>
  <c r="M24" i="2"/>
  <c r="K24" i="2"/>
  <c r="M23" i="2"/>
  <c r="K23" i="2"/>
  <c r="M22" i="2"/>
  <c r="K22" i="2"/>
  <c r="K6" i="2"/>
  <c r="M15" i="2"/>
  <c r="M29" i="2" s="1"/>
  <c r="M6" i="2"/>
  <c r="I23" i="2"/>
  <c r="I22" i="2"/>
  <c r="P20" i="2"/>
  <c r="O20" i="2"/>
  <c r="P18" i="2"/>
  <c r="O18" i="2"/>
  <c r="U7" i="2"/>
  <c r="X8" i="2"/>
  <c r="D7" i="1"/>
  <c r="D6" i="1"/>
  <c r="AC9" i="2" l="1"/>
  <c r="AD9" i="2" s="1"/>
  <c r="P24" i="2"/>
  <c r="H15" i="2"/>
  <c r="H18" i="2" s="1"/>
  <c r="H20" i="2" s="1"/>
  <c r="J15" i="2"/>
  <c r="J29" i="2" s="1"/>
  <c r="L24" i="2"/>
  <c r="J24" i="2"/>
  <c r="L23" i="2"/>
  <c r="J23" i="2"/>
  <c r="J6" i="2"/>
  <c r="J27" i="2" s="1"/>
  <c r="L15" i="2"/>
  <c r="L18" i="2" s="1"/>
  <c r="L6" i="2"/>
  <c r="L25" i="2" s="1"/>
  <c r="N23" i="2"/>
  <c r="L22" i="2"/>
  <c r="N15" i="2"/>
  <c r="N29" i="2" s="1"/>
  <c r="N24" i="2"/>
  <c r="P23" i="2"/>
  <c r="N6" i="2"/>
  <c r="P25" i="2"/>
  <c r="P22" i="2"/>
  <c r="N22" i="2"/>
  <c r="H6" i="2"/>
  <c r="I29" i="2"/>
  <c r="I30" i="2"/>
  <c r="I25" i="2"/>
  <c r="K25" i="2"/>
  <c r="K18" i="2"/>
  <c r="M18" i="2"/>
  <c r="M20" i="2" s="1"/>
  <c r="E6" i="2"/>
  <c r="E27" i="2" s="1"/>
  <c r="F5" i="2"/>
  <c r="F4" i="2"/>
  <c r="F3" i="2"/>
  <c r="S28" i="2"/>
  <c r="E24" i="2"/>
  <c r="G23" i="2"/>
  <c r="E23" i="2"/>
  <c r="G22" i="2"/>
  <c r="E22" i="2"/>
  <c r="D5" i="2"/>
  <c r="D4" i="2"/>
  <c r="D3" i="2"/>
  <c r="R10" i="2"/>
  <c r="R15" i="2"/>
  <c r="R18" i="2" s="1"/>
  <c r="R20" i="2" s="1"/>
  <c r="S24" i="2"/>
  <c r="S23" i="2"/>
  <c r="S22" i="2"/>
  <c r="R6" i="2"/>
  <c r="R8" i="2" s="1"/>
  <c r="R26" i="2" s="1"/>
  <c r="C6" i="2"/>
  <c r="C27" i="2" s="1"/>
  <c r="G5" i="2"/>
  <c r="AL33" i="2"/>
  <c r="Y17" i="2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T24" i="2"/>
  <c r="T23" i="2"/>
  <c r="T22" i="2"/>
  <c r="S6" i="2"/>
  <c r="D6" i="2" s="1"/>
  <c r="T6" i="2"/>
  <c r="D17" i="2"/>
  <c r="D16" i="2"/>
  <c r="D14" i="2"/>
  <c r="D13" i="2"/>
  <c r="C15" i="2"/>
  <c r="C18" i="2" s="1"/>
  <c r="C20" i="2" s="1"/>
  <c r="F17" i="2"/>
  <c r="F16" i="2"/>
  <c r="F14" i="2"/>
  <c r="F13" i="2"/>
  <c r="E15" i="2"/>
  <c r="E18" i="2" s="1"/>
  <c r="E20" i="2" s="1"/>
  <c r="G15" i="2"/>
  <c r="G18" i="2" s="1"/>
  <c r="G20" i="2" s="1"/>
  <c r="J18" i="2" l="1"/>
  <c r="J30" i="2" s="1"/>
  <c r="J25" i="2"/>
  <c r="L20" i="2"/>
  <c r="L29" i="2"/>
  <c r="N25" i="2"/>
  <c r="N18" i="2"/>
  <c r="K20" i="2"/>
  <c r="Z5" i="2"/>
  <c r="AA5" i="2" s="1"/>
  <c r="AB5" i="2" s="1"/>
  <c r="AC5" i="2" s="1"/>
  <c r="AD5" i="2" s="1"/>
  <c r="AE5" i="2" s="1"/>
  <c r="G24" i="2"/>
  <c r="F22" i="2"/>
  <c r="F23" i="2"/>
  <c r="G6" i="2"/>
  <c r="G25" i="2" s="1"/>
  <c r="R27" i="2"/>
  <c r="E29" i="2"/>
  <c r="S25" i="2"/>
  <c r="R29" i="2"/>
  <c r="R30" i="2"/>
  <c r="F6" i="2"/>
  <c r="G29" i="2"/>
  <c r="H24" i="2"/>
  <c r="F24" i="2"/>
  <c r="E25" i="2"/>
  <c r="T25" i="2"/>
  <c r="C30" i="2"/>
  <c r="C29" i="2"/>
  <c r="E30" i="2"/>
  <c r="G27" i="2"/>
  <c r="H29" i="2"/>
  <c r="S8" i="2"/>
  <c r="T11" i="2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T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T9" i="2"/>
  <c r="T7" i="2"/>
  <c r="T8" i="2" s="1"/>
  <c r="T26" i="2" s="1"/>
  <c r="D8" i="1"/>
  <c r="AL30" i="2" s="1"/>
  <c r="D5" i="1"/>
  <c r="F3" i="1"/>
  <c r="J20" i="2" l="1"/>
  <c r="N20" i="2"/>
  <c r="W24" i="2"/>
  <c r="U24" i="2"/>
  <c r="V24" i="2"/>
  <c r="AF5" i="2"/>
  <c r="AE24" i="2"/>
  <c r="X24" i="2"/>
  <c r="D9" i="1"/>
  <c r="G30" i="2"/>
  <c r="H23" i="2"/>
  <c r="H22" i="2"/>
  <c r="F25" i="2"/>
  <c r="S12" i="2"/>
  <c r="S27" i="2" s="1"/>
  <c r="S26" i="2"/>
  <c r="T28" i="2"/>
  <c r="Y24" i="2"/>
  <c r="T12" i="2"/>
  <c r="T27" i="2" s="1"/>
  <c r="AG5" i="2" l="1"/>
  <c r="AF24" i="2"/>
  <c r="H30" i="2"/>
  <c r="H27" i="2"/>
  <c r="U22" i="2"/>
  <c r="U6" i="2"/>
  <c r="H25" i="2"/>
  <c r="V23" i="2"/>
  <c r="U23" i="2"/>
  <c r="S15" i="2"/>
  <c r="S18" i="2" s="1"/>
  <c r="U28" i="2"/>
  <c r="D12" i="2"/>
  <c r="Z24" i="2"/>
  <c r="T15" i="2"/>
  <c r="F12" i="2"/>
  <c r="AH5" i="2" l="1"/>
  <c r="AG24" i="2"/>
  <c r="V6" i="2"/>
  <c r="V22" i="2"/>
  <c r="U25" i="2"/>
  <c r="S29" i="2"/>
  <c r="S20" i="2"/>
  <c r="S30" i="2"/>
  <c r="D15" i="2"/>
  <c r="D27" i="2"/>
  <c r="V28" i="2"/>
  <c r="F15" i="2"/>
  <c r="F27" i="2"/>
  <c r="T18" i="2"/>
  <c r="T29" i="2"/>
  <c r="AA24" i="2"/>
  <c r="AH24" i="2" l="1"/>
  <c r="AI5" i="2"/>
  <c r="AI24" i="2" s="1"/>
  <c r="W23" i="2"/>
  <c r="W22" i="2"/>
  <c r="W6" i="2"/>
  <c r="V25" i="2"/>
  <c r="W28" i="2"/>
  <c r="D18" i="2"/>
  <c r="D29" i="2"/>
  <c r="T20" i="2"/>
  <c r="T30" i="2"/>
  <c r="F18" i="2"/>
  <c r="F29" i="2"/>
  <c r="AB24" i="2"/>
  <c r="W25" i="2" l="1"/>
  <c r="X6" i="2"/>
  <c r="X22" i="2"/>
  <c r="X23" i="2"/>
  <c r="D20" i="2"/>
  <c r="D30" i="2"/>
  <c r="X28" i="2"/>
  <c r="F20" i="2"/>
  <c r="F30" i="2"/>
  <c r="AD24" i="2"/>
  <c r="AC24" i="2"/>
  <c r="Y23" i="2" l="1"/>
  <c r="X25" i="2"/>
  <c r="Y22" i="2"/>
  <c r="Y28" i="2"/>
  <c r="Z23" i="2" l="1"/>
  <c r="Z22" i="2"/>
  <c r="Z6" i="2"/>
  <c r="X26" i="2"/>
  <c r="X12" i="2"/>
  <c r="X27" i="2" s="1"/>
  <c r="Y25" i="2"/>
  <c r="Z28" i="2"/>
  <c r="Z7" i="2" l="1"/>
  <c r="Z25" i="2"/>
  <c r="AA6" i="2"/>
  <c r="AB3" i="2"/>
  <c r="AA22" i="2"/>
  <c r="Y7" i="2"/>
  <c r="Y26" i="2"/>
  <c r="Y12" i="2"/>
  <c r="Y27" i="2" s="1"/>
  <c r="AB4" i="2"/>
  <c r="AA23" i="2"/>
  <c r="AA28" i="2"/>
  <c r="AB22" i="2" l="1"/>
  <c r="AB6" i="2"/>
  <c r="AC3" i="2"/>
  <c r="AA7" i="2"/>
  <c r="AA25" i="2"/>
  <c r="AC4" i="2"/>
  <c r="AB23" i="2"/>
  <c r="Z26" i="2"/>
  <c r="Z12" i="2"/>
  <c r="Z27" i="2" s="1"/>
  <c r="AB28" i="2"/>
  <c r="AA26" i="2" l="1"/>
  <c r="AA12" i="2"/>
  <c r="AA27" i="2" s="1"/>
  <c r="AD4" i="2"/>
  <c r="AC23" i="2"/>
  <c r="AC6" i="2"/>
  <c r="AD3" i="2"/>
  <c r="AE3" i="2" s="1"/>
  <c r="AC22" i="2"/>
  <c r="AB7" i="2"/>
  <c r="AB25" i="2"/>
  <c r="AC28" i="2"/>
  <c r="AF3" i="2" l="1"/>
  <c r="AE22" i="2"/>
  <c r="AE28" i="2"/>
  <c r="AD23" i="2"/>
  <c r="AE4" i="2"/>
  <c r="AD6" i="2"/>
  <c r="AD22" i="2"/>
  <c r="AC7" i="2"/>
  <c r="AC25" i="2"/>
  <c r="AB26" i="2"/>
  <c r="AB12" i="2"/>
  <c r="AB27" i="2" s="1"/>
  <c r="AD28" i="2"/>
  <c r="AF4" i="2" l="1"/>
  <c r="AF6" i="2" s="1"/>
  <c r="AE23" i="2"/>
  <c r="AE6" i="2"/>
  <c r="AF28" i="2"/>
  <c r="AG3" i="2"/>
  <c r="AF22" i="2"/>
  <c r="AC26" i="2"/>
  <c r="AC12" i="2"/>
  <c r="AC27" i="2" s="1"/>
  <c r="AD25" i="2"/>
  <c r="AF25" i="2" l="1"/>
  <c r="AH3" i="2"/>
  <c r="AG22" i="2"/>
  <c r="AG4" i="2"/>
  <c r="AG6" i="2" s="1"/>
  <c r="AF23" i="2"/>
  <c r="AG28" i="2"/>
  <c r="AE7" i="2"/>
  <c r="AE25" i="2"/>
  <c r="AD26" i="2"/>
  <c r="AD12" i="2"/>
  <c r="AD27" i="2" s="1"/>
  <c r="AD7" i="2"/>
  <c r="AG25" i="2" l="1"/>
  <c r="AG7" i="2"/>
  <c r="AF26" i="2"/>
  <c r="AF12" i="2"/>
  <c r="AF27" i="2" s="1"/>
  <c r="AH4" i="2"/>
  <c r="AG23" i="2"/>
  <c r="AI3" i="2"/>
  <c r="AH22" i="2"/>
  <c r="AI28" i="2"/>
  <c r="AH28" i="2"/>
  <c r="AF7" i="2"/>
  <c r="AE12" i="2"/>
  <c r="AE27" i="2" s="1"/>
  <c r="AE26" i="2"/>
  <c r="AI22" i="2" l="1"/>
  <c r="AH23" i="2"/>
  <c r="AI4" i="2"/>
  <c r="AI23" i="2" s="1"/>
  <c r="AG26" i="2"/>
  <c r="AG12" i="2"/>
  <c r="AG27" i="2" s="1"/>
  <c r="AH6" i="2"/>
  <c r="AI6" i="2" l="1"/>
  <c r="AH7" i="2"/>
  <c r="AH25" i="2"/>
  <c r="AH12" i="2" l="1"/>
  <c r="AH27" i="2" s="1"/>
  <c r="AH26" i="2"/>
  <c r="AI7" i="2"/>
  <c r="AI25" i="2"/>
  <c r="AI26" i="2" l="1"/>
  <c r="AI12" i="2"/>
  <c r="AI27" i="2" s="1"/>
  <c r="W8" i="2"/>
  <c r="W26" i="2" s="1"/>
  <c r="W12" i="2" l="1"/>
  <c r="W27" i="2" l="1"/>
  <c r="X15" i="2"/>
  <c r="X18" i="2" l="1"/>
  <c r="X29" i="2"/>
  <c r="X20" i="2" l="1"/>
  <c r="Y13" i="2"/>
  <c r="X30" i="2"/>
  <c r="Y15" i="2" l="1"/>
  <c r="Y16" i="2" s="1"/>
  <c r="Y29" i="2" l="1"/>
  <c r="Y18" i="2" l="1"/>
  <c r="Y30" i="2" s="1"/>
  <c r="Z13" i="2" l="1"/>
  <c r="Z15" i="2" s="1"/>
  <c r="Z16" i="2" s="1"/>
  <c r="Y20" i="2"/>
  <c r="Z29" i="2" l="1"/>
  <c r="Z18" i="2" l="1"/>
  <c r="Z30" i="2" s="1"/>
  <c r="AA13" i="2" l="1"/>
  <c r="AA15" i="2" s="1"/>
  <c r="AA16" i="2" s="1"/>
  <c r="Z20" i="2"/>
  <c r="AA29" i="2" l="1"/>
  <c r="AA18" i="2" l="1"/>
  <c r="AA30" i="2" s="1"/>
  <c r="AA20" i="2" l="1"/>
  <c r="AB13" i="2"/>
  <c r="AB15" i="2" s="1"/>
  <c r="AB16" i="2" s="1"/>
  <c r="AB29" i="2" l="1"/>
  <c r="AB18" i="2" l="1"/>
  <c r="AB20" i="2" l="1"/>
  <c r="AB30" i="2"/>
  <c r="AC13" i="2"/>
  <c r="AC15" i="2" l="1"/>
  <c r="AC16" i="2" s="1"/>
  <c r="AC29" i="2" l="1"/>
  <c r="AC18" i="2" l="1"/>
  <c r="AC30" i="2" l="1"/>
  <c r="AC20" i="2"/>
  <c r="AD13" i="2"/>
  <c r="AD15" i="2" l="1"/>
  <c r="AD16" i="2" s="1"/>
  <c r="AD29" i="2" l="1"/>
  <c r="AD18" i="2" l="1"/>
  <c r="AD30" i="2" s="1"/>
  <c r="AE13" i="2" l="1"/>
  <c r="AE15" i="2" s="1"/>
  <c r="AE16" i="2" s="1"/>
  <c r="AD20" i="2"/>
  <c r="AE29" i="2" l="1"/>
  <c r="AE18" i="2" l="1"/>
  <c r="AE20" i="2" s="1"/>
  <c r="AF13" i="2" l="1"/>
  <c r="AF15" i="2" s="1"/>
  <c r="AF16" i="2" s="1"/>
  <c r="AF29" i="2" l="1"/>
  <c r="AF18" i="2" l="1"/>
  <c r="AF30" i="2" s="1"/>
  <c r="AF20" i="2" l="1"/>
  <c r="AG13" i="2"/>
  <c r="AG15" i="2" s="1"/>
  <c r="AG16" i="2" s="1"/>
  <c r="AG29" i="2" l="1"/>
  <c r="AG18" i="2" l="1"/>
  <c r="AG30" i="2" s="1"/>
  <c r="AG20" i="2" l="1"/>
  <c r="AH13" i="2"/>
  <c r="AH15" i="2" s="1"/>
  <c r="AH16" i="2" s="1"/>
  <c r="AH29" i="2" l="1"/>
  <c r="AH18" i="2" l="1"/>
  <c r="AH20" i="2" s="1"/>
  <c r="AI13" i="2" l="1"/>
  <c r="AI15" i="2" s="1"/>
  <c r="AH30" i="2"/>
  <c r="AI16" i="2" l="1"/>
  <c r="AI29" i="2" s="1"/>
  <c r="AI18" i="2" l="1"/>
  <c r="AI30" i="2" s="1"/>
  <c r="W15" i="2"/>
  <c r="AI20" i="2" l="1"/>
  <c r="AJ18" i="2"/>
  <c r="W29" i="2"/>
  <c r="AK18" i="2" l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AE30" i="2"/>
  <c r="W18" i="2"/>
  <c r="W30" i="2" l="1"/>
  <c r="W20" i="2"/>
  <c r="V8" i="2"/>
  <c r="V12" i="2" s="1"/>
  <c r="V27" i="2" l="1"/>
  <c r="V26" i="2"/>
  <c r="U8" i="2"/>
  <c r="U12" i="2" s="1"/>
  <c r="U15" i="2" l="1"/>
  <c r="U27" i="2"/>
  <c r="U26" i="2"/>
  <c r="U29" i="2" l="1"/>
  <c r="U18" i="2" l="1"/>
  <c r="V15" i="2" l="1"/>
  <c r="U20" i="2"/>
  <c r="U30" i="2"/>
  <c r="V29" i="2" l="1"/>
  <c r="V18" i="2" l="1"/>
  <c r="V30" i="2" l="1"/>
  <c r="AL31" i="2"/>
  <c r="AL32" i="2" s="1"/>
  <c r="AL34" i="2" s="1"/>
  <c r="V20" i="2"/>
</calcChain>
</file>

<file path=xl/sharedStrings.xml><?xml version="1.0" encoding="utf-8"?>
<sst xmlns="http://schemas.openxmlformats.org/spreadsheetml/2006/main" count="65" uniqueCount="60">
  <si>
    <t>MKS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</si>
  <si>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</si>
  <si>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</si>
  <si>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</si>
  <si>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</si>
  <si>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</si>
  <si>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</si>
  <si>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</si>
  <si>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</si>
  <si>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</si>
  <si>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</si>
  <si>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</si>
  <si>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H119</t>
  </si>
  <si>
    <t>H219</t>
  </si>
  <si>
    <t>H120</t>
  </si>
  <si>
    <t>H220</t>
  </si>
  <si>
    <t>Cost of sales</t>
  </si>
  <si>
    <t>Gross profit</t>
  </si>
  <si>
    <t>SG&amp;A</t>
  </si>
  <si>
    <t>Other operating income</t>
  </si>
  <si>
    <t>Share of associates</t>
  </si>
  <si>
    <t>Operating profit</t>
  </si>
  <si>
    <t>Finance income</t>
  </si>
  <si>
    <t>Finance costs</t>
  </si>
  <si>
    <t>Pretax profit</t>
  </si>
  <si>
    <t>Taxes</t>
  </si>
  <si>
    <t>Net profit</t>
  </si>
  <si>
    <t>MI</t>
  </si>
  <si>
    <t>EPS</t>
  </si>
  <si>
    <t>H121</t>
  </si>
  <si>
    <t>H221</t>
  </si>
  <si>
    <t>UK Clothing &amp; Home</t>
  </si>
  <si>
    <t>UK Food</t>
  </si>
  <si>
    <t>International</t>
  </si>
  <si>
    <t>Revenue y/y</t>
  </si>
  <si>
    <t>Gross Profit</t>
  </si>
  <si>
    <t>Operating Profit</t>
  </si>
  <si>
    <t>Clothing &amp; Home revenue y/y</t>
  </si>
  <si>
    <t>UK Food revenue y/y</t>
  </si>
  <si>
    <t>International revenue y/y</t>
  </si>
  <si>
    <t>SG&amp;A y/y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</si>
  <si>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</si>
  <si>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</si>
  <si>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</si>
  <si>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</si>
  <si>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</si>
  <si>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</si>
  <si>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</si>
  <si>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</si>
  <si>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</si>
  <si>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</si>
  <si>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H122</t>
  </si>
  <si>
    <t>H222</t>
  </si>
  <si>
    <t>H123</t>
  </si>
  <si>
    <t>H223</t>
  </si>
  <si>
    <t>H124</t>
  </si>
  <si>
    <t>H224</t>
  </si>
  <si>
    <t>H125</t>
  </si>
  <si>
    <t>H225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</si>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</sst>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1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0</xdr:row>
      <xdr:rowOff>0</xdr:rowOff>
    </xdr:from>
    <xdr:to>
      <xdr:col>24</xdr:col>
      <xdr:colOff>22860</xdr:colOff>
      <xdr:row>39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CFF8C5-8044-4925-92EA-9DDCA5EAC6AC}"/>
            </a:ext>
          </a:extLst>
        </xdr:cNvPr>
        <xdr:cNvCxnSpPr/>
      </xdr:nvCxnSpPr>
      <xdr:spPr>
        <a:xfrm>
          <a:off x="16032480" y="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0</xdr:row>
      <xdr:rowOff>0</xdr:rowOff>
    </xdr:from>
    <xdr:to>
      <xdr:col>14</xdr:col>
      <xdr:colOff>22860</xdr:colOff>
      <xdr:row>37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DCB596-6C45-4F13-B6A8-5C36E1FD20F4}"/>
            </a:ext>
          </a:extLst>
        </xdr:cNvPr>
        <xdr:cNvCxnSpPr/>
      </xdr:nvCxnSpPr>
      <xdr:spPr>
        <a:xfrm>
          <a:off x="11041380" y="0"/>
          <a:ext cx="0" cy="685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DAD2-0953-4D51-BE5D-FEBD00D7DFFB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2">
        <v>3.1880000000000002</v>
      </c>
      <c r="E3" s="4">
        <v>45515</v>
      </c>
      <c r="F3" s="4">
        <f ca="1">TODAY()</f>
        <v>45515</v>
      </c>
      <c r="G3" s="4">
        <v>45571</v>
      </c>
    </row>
    <row r="4" spans="2:7" x14ac:dyDescent="0.3">
      <c r="C4" t="s">
        <v>2</v>
      </c>
      <c r="D4" s="5">
        <v>1973.2</v>
      </c>
      <c r="E4" s="3" t="s">
        <v>56</v>
      </c>
    </row>
    <row r="5" spans="2:7" x14ac:dyDescent="0.3">
      <c r="C5" t="s">
        <v>3</v>
      </c>
      <c r="D5" s="5">
        <f>D3*D4</f>
        <v>6290.5616000000009</v>
      </c>
    </row>
    <row r="6" spans="2:7" x14ac:dyDescent="0.3">
      <c r="C6" t="s">
        <v>4</v>
      </c>
      <c r="D6" s="5">
        <f>1022.4+684.2</f>
        <v>1706.6</v>
      </c>
      <c r="E6" s="3" t="s">
        <v>56</v>
      </c>
    </row>
    <row r="7" spans="2:7" x14ac:dyDescent="0.3">
      <c r="C7" t="s">
        <v>5</v>
      </c>
      <c r="D7" s="5">
        <f>2882.8+250.4</f>
        <v>3133.2000000000003</v>
      </c>
      <c r="E7" s="3" t="s">
        <v>56</v>
      </c>
    </row>
    <row r="8" spans="2:7" x14ac:dyDescent="0.3">
      <c r="C8" t="s">
        <v>6</v>
      </c>
      <c r="D8" s="5">
        <f>D6-D7</f>
        <v>-1426.6000000000004</v>
      </c>
    </row>
    <row r="9" spans="2:7" x14ac:dyDescent="0.3">
      <c r="C9" t="s">
        <v>7</v>
      </c>
      <c r="D9" s="5">
        <f>D5-D8</f>
        <v>7717.1616000000013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1604-E45F-4796-9FF6-99986B566A32}">
  <dimension ref="B1:ES35"/>
  <sheetViews>
    <sheetView tabSelected="1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L35" sqref="AL35"/>
    </sheetView>
  </sheetViews>
  <sheetFormatPr defaultRowHeight="14.4" x14ac:dyDescent="0.3"/>
  <cols>
    <col min="2" max="2" width="25.109375" bestFit="1" customWidth="1"/>
    <col min="3" max="17" width="10.5546875" customWidth="1"/>
    <col min="18" max="35" width="10.5546875" bestFit="1" customWidth="1"/>
    <col min="37" max="37" width="12" bestFit="1" customWidth="1"/>
    <col min="38" max="38" width="17.33203125" bestFit="1" customWidth="1"/>
  </cols>
  <sheetData>
    <row r="1" spans="2:35" x14ac:dyDescent="0.3">
      <c r="C1" s="9">
        <v>43373</v>
      </c>
      <c r="D1" s="9">
        <v>43555</v>
      </c>
      <c r="E1" s="9">
        <v>43738</v>
      </c>
      <c r="F1" s="9">
        <v>43921</v>
      </c>
      <c r="G1" s="9">
        <v>44104</v>
      </c>
      <c r="H1" s="9">
        <v>44286</v>
      </c>
      <c r="I1" s="9">
        <v>44469</v>
      </c>
      <c r="J1" s="9">
        <v>44651</v>
      </c>
      <c r="K1" s="9">
        <v>44834</v>
      </c>
      <c r="L1" s="9">
        <v>45016</v>
      </c>
      <c r="M1" s="9">
        <v>45199</v>
      </c>
      <c r="N1" s="9">
        <v>45382</v>
      </c>
      <c r="O1" s="9">
        <v>45565</v>
      </c>
      <c r="P1" s="9">
        <v>45747</v>
      </c>
      <c r="R1" s="9">
        <v>43190</v>
      </c>
      <c r="S1" s="9">
        <v>43555</v>
      </c>
      <c r="T1" s="9">
        <v>43921</v>
      </c>
      <c r="U1" s="9">
        <v>44286</v>
      </c>
      <c r="V1" s="9">
        <v>44651</v>
      </c>
      <c r="W1" s="9">
        <v>45016</v>
      </c>
      <c r="X1" s="9">
        <v>45382</v>
      </c>
      <c r="Y1" s="9">
        <v>45747</v>
      </c>
      <c r="Z1" s="9">
        <v>46112</v>
      </c>
      <c r="AA1" s="9">
        <v>46477</v>
      </c>
      <c r="AB1" s="9">
        <v>46843</v>
      </c>
      <c r="AC1" s="9">
        <v>47208</v>
      </c>
      <c r="AD1" s="9">
        <v>47573</v>
      </c>
      <c r="AE1" s="9">
        <v>47938</v>
      </c>
      <c r="AF1" s="9">
        <v>48304</v>
      </c>
      <c r="AG1" s="9">
        <v>48669</v>
      </c>
      <c r="AH1" s="9">
        <v>49034</v>
      </c>
      <c r="AI1" s="9">
        <v>49399</v>
      </c>
    </row>
    <row r="2" spans="2:35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29</v>
      </c>
      <c r="H2" s="6" t="s">
        <v>30</v>
      </c>
      <c r="I2" s="6" t="s">
        <v>51</v>
      </c>
      <c r="J2" s="6" t="s">
        <v>52</v>
      </c>
      <c r="K2" s="6" t="s">
        <v>53</v>
      </c>
      <c r="L2" s="6" t="s">
        <v>54</v>
      </c>
      <c r="M2" s="6" t="s">
        <v>55</v>
      </c>
      <c r="N2" s="6" t="s">
        <v>56</v>
      </c>
      <c r="O2" s="6" t="s">
        <v>57</v>
      </c>
      <c r="P2" s="6" t="s">
        <v>58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</row>
    <row r="3" spans="2:35" x14ac:dyDescent="0.3">
      <c r="B3" t="s">
        <v>31</v>
      </c>
      <c r="C3" s="12">
        <v>1702.5</v>
      </c>
      <c r="D3" s="12">
        <f>R3-C3</f>
        <v>1968.5</v>
      </c>
      <c r="E3" s="12">
        <v>1569.5</v>
      </c>
      <c r="F3" s="12">
        <f>T3-E3</f>
        <v>1639.6</v>
      </c>
      <c r="G3" s="12">
        <v>917.2</v>
      </c>
      <c r="H3" s="12">
        <f>U3-G3</f>
        <v>1321.8</v>
      </c>
      <c r="I3" s="12">
        <v>1527</v>
      </c>
      <c r="J3" s="12">
        <f>V3-I3</f>
        <v>1781.3000000000002</v>
      </c>
      <c r="K3" s="12">
        <v>1724.3</v>
      </c>
      <c r="L3" s="12">
        <f>W3-K3</f>
        <v>1934.0000000000002</v>
      </c>
      <c r="M3" s="12">
        <v>1819.1</v>
      </c>
      <c r="N3" s="12">
        <f>X3-M3</f>
        <v>2022.4</v>
      </c>
      <c r="O3" s="12">
        <f>M3*1.04</f>
        <v>1891.864</v>
      </c>
      <c r="P3" s="12">
        <f>N3*1.04</f>
        <v>2103.2960000000003</v>
      </c>
      <c r="R3" s="5">
        <v>3671</v>
      </c>
      <c r="S3" s="5">
        <v>3537.3</v>
      </c>
      <c r="T3" s="5">
        <v>3209.1</v>
      </c>
      <c r="U3" s="5">
        <v>2239</v>
      </c>
      <c r="V3" s="5">
        <v>3308.3</v>
      </c>
      <c r="W3" s="5">
        <v>3658.3</v>
      </c>
      <c r="X3" s="5">
        <v>3841.5</v>
      </c>
      <c r="Y3" s="5">
        <f>SUM(O3:P3)</f>
        <v>3995.1600000000003</v>
      </c>
      <c r="Z3" s="5">
        <f>Y3*1.03</f>
        <v>4115.0148000000008</v>
      </c>
      <c r="AA3" s="5">
        <f>Z3*1.02</f>
        <v>4197.3150960000012</v>
      </c>
      <c r="AB3" s="5">
        <f t="shared" ref="AB3:AD3" si="0">AA3*1.01</f>
        <v>4239.2882469600008</v>
      </c>
      <c r="AC3" s="5">
        <f t="shared" si="0"/>
        <v>4281.6811294296012</v>
      </c>
      <c r="AD3" s="5">
        <f t="shared" si="0"/>
        <v>4324.497940723897</v>
      </c>
      <c r="AE3" s="5">
        <f t="shared" ref="AE3" si="1">AD3*1.01</f>
        <v>4367.7429201311361</v>
      </c>
      <c r="AF3" s="5">
        <f t="shared" ref="AF3" si="2">AE3*1.01</f>
        <v>4411.4203493324476</v>
      </c>
      <c r="AG3" s="5">
        <f t="shared" ref="AG3" si="3">AF3*1.01</f>
        <v>4455.5345528257722</v>
      </c>
      <c r="AH3" s="5">
        <f t="shared" ref="AH3" si="4">AG3*1.01</f>
        <v>4500.0898983540301</v>
      </c>
      <c r="AI3" s="5">
        <f t="shared" ref="AI3" si="5">AH3*1.01</f>
        <v>4545.0907973375706</v>
      </c>
    </row>
    <row r="4" spans="2:35" x14ac:dyDescent="0.3">
      <c r="B4" t="s">
        <v>32</v>
      </c>
      <c r="C4" s="12">
        <v>2813.2</v>
      </c>
      <c r="D4" s="12">
        <f t="shared" ref="D4:D5" si="6">R4-C4</f>
        <v>3126.8</v>
      </c>
      <c r="E4" s="12">
        <v>2845.8</v>
      </c>
      <c r="F4" s="12">
        <f t="shared" ref="F4:F5" si="7">T4-E4</f>
        <v>3182.3999999999996</v>
      </c>
      <c r="G4" s="12">
        <v>2838.6</v>
      </c>
      <c r="H4" s="12">
        <f>U4-G4</f>
        <v>3299.9</v>
      </c>
      <c r="I4" s="12">
        <v>3143</v>
      </c>
      <c r="J4" s="12">
        <f>V4-I4</f>
        <v>3496.6000000000004</v>
      </c>
      <c r="K4" s="12">
        <v>3317.5</v>
      </c>
      <c r="L4" s="12">
        <f>W4-K4</f>
        <v>3900.5</v>
      </c>
      <c r="M4" s="12">
        <v>3803.6</v>
      </c>
      <c r="N4" s="12">
        <f>X4-M4</f>
        <v>4355.2000000000007</v>
      </c>
      <c r="O4" s="12">
        <f>M4*1.08</f>
        <v>4107.8879999999999</v>
      </c>
      <c r="P4" s="12">
        <f>N4*1.08</f>
        <v>4703.6160000000009</v>
      </c>
      <c r="R4" s="5">
        <v>5940</v>
      </c>
      <c r="S4" s="5">
        <v>5903.4</v>
      </c>
      <c r="T4" s="5">
        <v>6028.2</v>
      </c>
      <c r="U4" s="5">
        <v>6138.5</v>
      </c>
      <c r="V4" s="5">
        <v>6639.6</v>
      </c>
      <c r="W4" s="5">
        <v>7218</v>
      </c>
      <c r="X4" s="5">
        <v>8158.8</v>
      </c>
      <c r="Y4" s="5">
        <f>SUM(O4:P4)</f>
        <v>8811.5040000000008</v>
      </c>
      <c r="Z4" s="5">
        <f>Y4*1.05</f>
        <v>9252.0792000000019</v>
      </c>
      <c r="AA4" s="5">
        <f>Z4*1.03</f>
        <v>9529.6415760000018</v>
      </c>
      <c r="AB4" s="5">
        <f t="shared" ref="AB4" si="8">AA4*1.02</f>
        <v>9720.2344075200017</v>
      </c>
      <c r="AC4" s="5">
        <f t="shared" ref="AC4" si="9">AB4*1.02</f>
        <v>9914.6390956704017</v>
      </c>
      <c r="AD4" s="5">
        <f t="shared" ref="AD4" si="10">AC4*1.02</f>
        <v>10112.931877583809</v>
      </c>
      <c r="AE4" s="5">
        <f t="shared" ref="AE4" si="11">AD4*1.02</f>
        <v>10315.190515135486</v>
      </c>
      <c r="AF4" s="5">
        <f t="shared" ref="AF4" si="12">AE4*1.02</f>
        <v>10521.494325438196</v>
      </c>
      <c r="AG4" s="5">
        <f t="shared" ref="AG4" si="13">AF4*1.02</f>
        <v>10731.92421194696</v>
      </c>
      <c r="AH4" s="5">
        <f t="shared" ref="AH4" si="14">AG4*1.02</f>
        <v>10946.5626961859</v>
      </c>
      <c r="AI4" s="5">
        <f t="shared" ref="AI4" si="15">AH4*1.02</f>
        <v>11165.493950109618</v>
      </c>
    </row>
    <row r="5" spans="2:35" x14ac:dyDescent="0.3">
      <c r="B5" t="s">
        <v>33</v>
      </c>
      <c r="C5" s="12">
        <v>451.2</v>
      </c>
      <c r="D5" s="12">
        <f t="shared" si="6"/>
        <v>636</v>
      </c>
      <c r="E5" s="12">
        <v>445.6</v>
      </c>
      <c r="F5" s="12">
        <f t="shared" si="7"/>
        <v>499</v>
      </c>
      <c r="G5" s="12">
        <f>346.3</f>
        <v>346.3</v>
      </c>
      <c r="H5" s="12">
        <f>U5-G5</f>
        <v>443.09999999999997</v>
      </c>
      <c r="I5" s="12">
        <v>435.3</v>
      </c>
      <c r="J5" s="12">
        <f>V5-I5</f>
        <v>501.90000000000003</v>
      </c>
      <c r="K5" s="12">
        <v>496.4</v>
      </c>
      <c r="L5" s="12">
        <f>W5-K5</f>
        <v>558.6</v>
      </c>
      <c r="M5" s="12">
        <v>511.3</v>
      </c>
      <c r="N5" s="12">
        <f>X5-M5</f>
        <v>528.5</v>
      </c>
      <c r="O5" s="12">
        <f>M5*0.98</f>
        <v>501.07400000000001</v>
      </c>
      <c r="P5" s="12">
        <f>N5*0.98</f>
        <v>517.92999999999995</v>
      </c>
      <c r="R5" s="5">
        <v>1087.2</v>
      </c>
      <c r="S5" s="5">
        <v>936.6</v>
      </c>
      <c r="T5" s="5">
        <v>944.6</v>
      </c>
      <c r="U5" s="5">
        <v>789.4</v>
      </c>
      <c r="V5" s="5">
        <v>937.2</v>
      </c>
      <c r="W5" s="5">
        <v>1055</v>
      </c>
      <c r="X5" s="5">
        <v>1039.8</v>
      </c>
      <c r="Y5" s="5">
        <f>SUM(O5:P5)</f>
        <v>1019.0039999999999</v>
      </c>
      <c r="Z5" s="5">
        <f t="shared" ref="Z5:AD5" si="16">Y5*0.99</f>
        <v>1008.81396</v>
      </c>
      <c r="AA5" s="5">
        <f t="shared" si="16"/>
        <v>998.72582039999998</v>
      </c>
      <c r="AB5" s="5">
        <f t="shared" si="16"/>
        <v>988.73856219599998</v>
      </c>
      <c r="AC5" s="5">
        <f t="shared" si="16"/>
        <v>978.85117657403998</v>
      </c>
      <c r="AD5" s="5">
        <f t="shared" si="16"/>
        <v>969.06266480829959</v>
      </c>
      <c r="AE5" s="5">
        <f t="shared" ref="AE5" si="17">AD5*0.99</f>
        <v>959.37203816021656</v>
      </c>
      <c r="AF5" s="5">
        <f t="shared" ref="AF5" si="18">AE5*0.99</f>
        <v>949.77831777861434</v>
      </c>
      <c r="AG5" s="5">
        <f t="shared" ref="AG5" si="19">AF5*0.99</f>
        <v>940.28053460082822</v>
      </c>
      <c r="AH5" s="5">
        <f t="shared" ref="AH5" si="20">AG5*0.99</f>
        <v>930.87772925481988</v>
      </c>
      <c r="AI5" s="5">
        <f t="shared" ref="AI5" si="21">AH5*0.99</f>
        <v>921.56895196227163</v>
      </c>
    </row>
    <row r="6" spans="2:35" s="1" customFormat="1" x14ac:dyDescent="0.3">
      <c r="B6" s="1" t="s">
        <v>11</v>
      </c>
      <c r="C6" s="7">
        <f>C3+C4+C5</f>
        <v>4966.8999999999996</v>
      </c>
      <c r="D6" s="7">
        <f>S6-C6</f>
        <v>5410.4000000000015</v>
      </c>
      <c r="E6" s="7">
        <f t="shared" ref="E6:N6" si="22">E3+E4+E5</f>
        <v>4860.9000000000005</v>
      </c>
      <c r="F6" s="7">
        <f t="shared" si="22"/>
        <v>5321</v>
      </c>
      <c r="G6" s="7">
        <f t="shared" si="22"/>
        <v>4102.1000000000004</v>
      </c>
      <c r="H6" s="7">
        <f t="shared" si="22"/>
        <v>5064.8</v>
      </c>
      <c r="I6" s="7">
        <f t="shared" si="22"/>
        <v>5105.3</v>
      </c>
      <c r="J6" s="7">
        <f t="shared" si="22"/>
        <v>5779.8</v>
      </c>
      <c r="K6" s="7">
        <f t="shared" si="22"/>
        <v>5538.2</v>
      </c>
      <c r="L6" s="7">
        <f t="shared" si="22"/>
        <v>6393.1</v>
      </c>
      <c r="M6" s="7">
        <f t="shared" si="22"/>
        <v>6134</v>
      </c>
      <c r="N6" s="7">
        <f t="shared" si="22"/>
        <v>6906.1</v>
      </c>
      <c r="O6" s="7">
        <f t="shared" ref="O6:P6" si="23">O3+O4+O5</f>
        <v>6500.826</v>
      </c>
      <c r="P6" s="7">
        <f t="shared" si="23"/>
        <v>7324.8420000000015</v>
      </c>
      <c r="Q6" s="7"/>
      <c r="R6" s="7">
        <f>R3+R4+R5</f>
        <v>10698.2</v>
      </c>
      <c r="S6" s="7">
        <f>S3+S4+S5</f>
        <v>10377.300000000001</v>
      </c>
      <c r="T6" s="7">
        <f>T3+T4+T5</f>
        <v>10181.9</v>
      </c>
      <c r="U6" s="7">
        <f>U3+U4+U5</f>
        <v>9166.9</v>
      </c>
      <c r="V6" s="7">
        <f t="shared" ref="V6:AD6" si="24">V3+V4+V5</f>
        <v>10885.100000000002</v>
      </c>
      <c r="W6" s="7">
        <f t="shared" si="24"/>
        <v>11931.3</v>
      </c>
      <c r="X6" s="7">
        <f t="shared" si="24"/>
        <v>13040.099999999999</v>
      </c>
      <c r="Y6" s="7">
        <f t="shared" si="24"/>
        <v>13825.668000000001</v>
      </c>
      <c r="Z6" s="7">
        <f t="shared" si="24"/>
        <v>14375.907960000002</v>
      </c>
      <c r="AA6" s="7">
        <f t="shared" si="24"/>
        <v>14725.682492400003</v>
      </c>
      <c r="AB6" s="7">
        <f t="shared" si="24"/>
        <v>14948.261216676003</v>
      </c>
      <c r="AC6" s="7">
        <f t="shared" si="24"/>
        <v>15175.171401674044</v>
      </c>
      <c r="AD6" s="7">
        <f t="shared" si="24"/>
        <v>15406.492483116006</v>
      </c>
      <c r="AE6" s="7">
        <f t="shared" ref="AE6:AI6" si="25">AE3+AE4+AE5</f>
        <v>15642.305473426839</v>
      </c>
      <c r="AF6" s="7">
        <f t="shared" si="25"/>
        <v>15882.692992549259</v>
      </c>
      <c r="AG6" s="7">
        <f t="shared" si="25"/>
        <v>16127.739299373559</v>
      </c>
      <c r="AH6" s="7">
        <f t="shared" si="25"/>
        <v>16377.53032379475</v>
      </c>
      <c r="AI6" s="7">
        <f t="shared" si="25"/>
        <v>16632.15369940946</v>
      </c>
    </row>
    <row r="7" spans="2:35" x14ac:dyDescent="0.3">
      <c r="B7" t="s">
        <v>16</v>
      </c>
      <c r="C7" s="5"/>
      <c r="E7" s="5"/>
      <c r="G7" s="5"/>
      <c r="M7" s="5"/>
      <c r="N7" s="5"/>
      <c r="R7" s="5">
        <v>6650.9</v>
      </c>
      <c r="S7" s="5">
        <v>6558.2</v>
      </c>
      <c r="T7" s="5">
        <f>6589.5+157</f>
        <v>6746.5</v>
      </c>
      <c r="U7" s="5">
        <f>6244.1+11.2</f>
        <v>6255.3</v>
      </c>
      <c r="V7" s="5">
        <v>7130.3</v>
      </c>
      <c r="W7" s="5">
        <v>7786.7</v>
      </c>
      <c r="X7" s="5">
        <v>8447.2000000000007</v>
      </c>
      <c r="Y7" s="5">
        <f t="shared" ref="Y7:AD7" si="26">Y6-Y8</f>
        <v>8986.6842000000015</v>
      </c>
      <c r="Z7" s="5">
        <f t="shared" si="26"/>
        <v>9344.3401740000008</v>
      </c>
      <c r="AA7" s="5">
        <f t="shared" si="26"/>
        <v>9571.693620060003</v>
      </c>
      <c r="AB7" s="5">
        <f t="shared" si="26"/>
        <v>9716.3697908394024</v>
      </c>
      <c r="AC7" s="5">
        <f t="shared" si="26"/>
        <v>9863.8614110881281</v>
      </c>
      <c r="AD7" s="5">
        <f t="shared" si="26"/>
        <v>10014.220114025404</v>
      </c>
      <c r="AE7" s="5">
        <f t="shared" ref="AE7:AI7" si="27">AE6-AE8</f>
        <v>10167.498557727446</v>
      </c>
      <c r="AF7" s="5">
        <f t="shared" si="27"/>
        <v>10323.750445157018</v>
      </c>
      <c r="AG7" s="5">
        <f t="shared" si="27"/>
        <v>10483.030544592813</v>
      </c>
      <c r="AH7" s="5">
        <f t="shared" si="27"/>
        <v>10645.394710466588</v>
      </c>
      <c r="AI7" s="5">
        <f t="shared" si="27"/>
        <v>10810.89990461615</v>
      </c>
    </row>
    <row r="8" spans="2:35" s="1" customFormat="1" x14ac:dyDescent="0.3">
      <c r="B8" s="1" t="s">
        <v>17</v>
      </c>
      <c r="C8" s="7"/>
      <c r="E8" s="7"/>
      <c r="G8" s="7"/>
      <c r="M8" s="7"/>
      <c r="N8" s="7"/>
      <c r="R8" s="7">
        <f>R6-R7</f>
        <v>4047.3000000000011</v>
      </c>
      <c r="S8" s="7">
        <f>S6-S7</f>
        <v>3819.1000000000013</v>
      </c>
      <c r="T8" s="7">
        <f>T6-T7</f>
        <v>3435.3999999999996</v>
      </c>
      <c r="U8" s="7">
        <f t="shared" ref="U8:X8" si="28">U6-U7</f>
        <v>2911.5999999999995</v>
      </c>
      <c r="V8" s="7">
        <f t="shared" si="28"/>
        <v>3754.800000000002</v>
      </c>
      <c r="W8" s="7">
        <f t="shared" si="28"/>
        <v>4144.5999999999995</v>
      </c>
      <c r="X8" s="7">
        <f t="shared" si="28"/>
        <v>4592.8999999999978</v>
      </c>
      <c r="Y8" s="7">
        <f>Y6*0.35</f>
        <v>4838.9838</v>
      </c>
      <c r="Z8" s="7">
        <f t="shared" ref="Z8:AI8" si="29">Z6*0.35</f>
        <v>5031.5677860000005</v>
      </c>
      <c r="AA8" s="7">
        <f t="shared" si="29"/>
        <v>5153.9888723400009</v>
      </c>
      <c r="AB8" s="7">
        <f t="shared" si="29"/>
        <v>5231.8914258366003</v>
      </c>
      <c r="AC8" s="7">
        <f t="shared" si="29"/>
        <v>5311.3099905859153</v>
      </c>
      <c r="AD8" s="7">
        <f t="shared" si="29"/>
        <v>5392.2723690906014</v>
      </c>
      <c r="AE8" s="7">
        <f t="shared" si="29"/>
        <v>5474.8069156993934</v>
      </c>
      <c r="AF8" s="7">
        <f t="shared" si="29"/>
        <v>5558.9425473922402</v>
      </c>
      <c r="AG8" s="7">
        <f t="shared" si="29"/>
        <v>5644.708754780745</v>
      </c>
      <c r="AH8" s="7">
        <f t="shared" si="29"/>
        <v>5732.1356133281624</v>
      </c>
      <c r="AI8" s="7">
        <f t="shared" si="29"/>
        <v>5821.2537947933106</v>
      </c>
    </row>
    <row r="9" spans="2:35" x14ac:dyDescent="0.3">
      <c r="B9" t="s">
        <v>18</v>
      </c>
      <c r="C9" s="5"/>
      <c r="E9" s="5"/>
      <c r="G9" s="5"/>
      <c r="M9" s="5"/>
      <c r="N9" s="5"/>
      <c r="R9" s="5">
        <v>3426.2</v>
      </c>
      <c r="S9" s="5">
        <v>3542.6</v>
      </c>
      <c r="T9" s="5">
        <f>3036.4+188.8</f>
        <v>3225.2000000000003</v>
      </c>
      <c r="U9" s="5">
        <v>3018.9</v>
      </c>
      <c r="V9" s="5">
        <v>3244.1</v>
      </c>
      <c r="W9" s="5">
        <v>3609.2</v>
      </c>
      <c r="X9" s="5">
        <v>3822.4</v>
      </c>
      <c r="Y9" s="5">
        <f>X9*1.05</f>
        <v>4013.5200000000004</v>
      </c>
      <c r="Z9" s="5">
        <f>Y9*1.03</f>
        <v>4133.9256000000005</v>
      </c>
      <c r="AA9" s="5">
        <f>Z9*1.02</f>
        <v>4216.6041120000009</v>
      </c>
      <c r="AB9" s="5">
        <f>AA9*1.02</f>
        <v>4300.936194240001</v>
      </c>
      <c r="AC9" s="5">
        <f t="shared" ref="AC9:AD9" si="30">AB9*1.02</f>
        <v>4386.9549181248012</v>
      </c>
      <c r="AD9" s="5">
        <f t="shared" si="30"/>
        <v>4474.6940164872976</v>
      </c>
      <c r="AE9" s="5">
        <f>AD9*1.01</f>
        <v>4519.4409566521708</v>
      </c>
      <c r="AF9" s="5">
        <f t="shared" ref="AF9:AI9" si="31">AE9*1.01</f>
        <v>4564.635366218693</v>
      </c>
      <c r="AG9" s="5">
        <f t="shared" si="31"/>
        <v>4610.2817198808798</v>
      </c>
      <c r="AH9" s="5">
        <f t="shared" si="31"/>
        <v>4656.3845370796889</v>
      </c>
      <c r="AI9" s="5">
        <f t="shared" si="31"/>
        <v>4702.948382450486</v>
      </c>
    </row>
    <row r="10" spans="2:35" x14ac:dyDescent="0.3">
      <c r="B10" t="s">
        <v>19</v>
      </c>
      <c r="C10" s="5"/>
      <c r="E10" s="5"/>
      <c r="G10" s="5"/>
      <c r="M10" s="5"/>
      <c r="N10" s="5"/>
      <c r="R10" s="5">
        <f>-49.5+514.1</f>
        <v>464.6</v>
      </c>
      <c r="S10" s="5">
        <v>-21.6</v>
      </c>
      <c r="T10" s="5">
        <f>-32.1-26.7</f>
        <v>-58.8</v>
      </c>
      <c r="U10" s="5">
        <v>-12.4</v>
      </c>
      <c r="V10" s="5">
        <v>-80.099999999999994</v>
      </c>
      <c r="W10" s="5">
        <v>-23.2</v>
      </c>
      <c r="X10" s="5">
        <v>-23.6</v>
      </c>
      <c r="Y10" s="5">
        <f t="shared" ref="Y10:AD10" si="32">X10*1.01</f>
        <v>-23.836000000000002</v>
      </c>
      <c r="Z10" s="5">
        <f t="shared" si="32"/>
        <v>-24.074360000000002</v>
      </c>
      <c r="AA10" s="5">
        <f t="shared" si="32"/>
        <v>-24.315103600000004</v>
      </c>
      <c r="AB10" s="5">
        <f t="shared" si="32"/>
        <v>-24.558254636000004</v>
      </c>
      <c r="AC10" s="5">
        <f t="shared" si="32"/>
        <v>-24.803837182360006</v>
      </c>
      <c r="AD10" s="5">
        <f t="shared" si="32"/>
        <v>-25.051875554183606</v>
      </c>
      <c r="AE10" s="5">
        <f t="shared" ref="AE10:AE11" si="33">AD10*1.01</f>
        <v>-25.302394309725443</v>
      </c>
      <c r="AF10" s="5">
        <f t="shared" ref="AF10:AF11" si="34">AE10*1.01</f>
        <v>-25.555418252822697</v>
      </c>
      <c r="AG10" s="5">
        <f t="shared" ref="AG10:AG11" si="35">AF10*1.01</f>
        <v>-25.810972435350923</v>
      </c>
      <c r="AH10" s="5">
        <f t="shared" ref="AH10:AH11" si="36">AG10*1.01</f>
        <v>-26.069082159704433</v>
      </c>
      <c r="AI10" s="5">
        <f t="shared" ref="AI10:AI11" si="37">AH10*1.01</f>
        <v>-26.329772981301478</v>
      </c>
    </row>
    <row r="11" spans="2:35" x14ac:dyDescent="0.3">
      <c r="B11" t="s">
        <v>20</v>
      </c>
      <c r="C11" s="5"/>
      <c r="E11" s="5"/>
      <c r="G11" s="5"/>
      <c r="M11" s="5"/>
      <c r="N11" s="5"/>
      <c r="R11" s="5">
        <v>0</v>
      </c>
      <c r="S11" s="5">
        <v>0</v>
      </c>
      <c r="T11" s="5">
        <f>-2.6+16.8</f>
        <v>14.200000000000001</v>
      </c>
      <c r="U11" s="5">
        <v>-64.2</v>
      </c>
      <c r="V11" s="5">
        <v>18.600000000000001</v>
      </c>
      <c r="W11" s="5">
        <v>43.5</v>
      </c>
      <c r="X11" s="5">
        <v>79.900000000000006</v>
      </c>
      <c r="Y11" s="5">
        <f t="shared" ref="Y11:AD11" si="38">X11*1.01</f>
        <v>80.699000000000012</v>
      </c>
      <c r="Z11" s="5">
        <f t="shared" si="38"/>
        <v>81.505990000000011</v>
      </c>
      <c r="AA11" s="5">
        <f t="shared" si="38"/>
        <v>82.321049900000006</v>
      </c>
      <c r="AB11" s="5">
        <f t="shared" si="38"/>
        <v>83.144260399000004</v>
      </c>
      <c r="AC11" s="5">
        <f t="shared" si="38"/>
        <v>83.975703002990002</v>
      </c>
      <c r="AD11" s="5">
        <f t="shared" si="38"/>
        <v>84.815460033019903</v>
      </c>
      <c r="AE11" s="5">
        <f t="shared" si="33"/>
        <v>85.663614633350107</v>
      </c>
      <c r="AF11" s="5">
        <f t="shared" si="34"/>
        <v>86.520250779683607</v>
      </c>
      <c r="AG11" s="5">
        <f t="shared" si="35"/>
        <v>87.385453287480445</v>
      </c>
      <c r="AH11" s="5">
        <f t="shared" si="36"/>
        <v>88.259307820355247</v>
      </c>
      <c r="AI11" s="5">
        <f t="shared" si="37"/>
        <v>89.141900898558802</v>
      </c>
    </row>
    <row r="12" spans="2:35" s="1" customFormat="1" x14ac:dyDescent="0.3">
      <c r="B12" s="1" t="s">
        <v>21</v>
      </c>
      <c r="C12" s="7">
        <v>165.7</v>
      </c>
      <c r="D12" s="7">
        <f>S12-C12</f>
        <v>132.4000000000014</v>
      </c>
      <c r="E12" s="7">
        <v>252.4</v>
      </c>
      <c r="F12" s="7">
        <f>T12-E12</f>
        <v>2.3999999999993804</v>
      </c>
      <c r="G12" s="7">
        <v>-9.4</v>
      </c>
      <c r="H12" s="13">
        <f>U12-G12</f>
        <v>-21.30000000000063</v>
      </c>
      <c r="I12" s="7">
        <v>282</v>
      </c>
      <c r="J12" s="13">
        <f>V12-I12</f>
        <v>290.20000000000209</v>
      </c>
      <c r="K12" s="7">
        <v>171.5</v>
      </c>
      <c r="L12" s="13">
        <f>W12-K12</f>
        <v>343.59999999999968</v>
      </c>
      <c r="M12" s="7">
        <v>315</v>
      </c>
      <c r="N12" s="13">
        <f>X12-M12</f>
        <v>399.19999999999777</v>
      </c>
      <c r="R12" s="7">
        <v>156.5</v>
      </c>
      <c r="S12" s="7">
        <f>S8-S9-S10-S11</f>
        <v>298.10000000000139</v>
      </c>
      <c r="T12" s="7">
        <f>T8-T9-T10-T11</f>
        <v>254.79999999999939</v>
      </c>
      <c r="U12" s="7">
        <f t="shared" ref="U12:AD12" si="39">U8-U9-U10-U11</f>
        <v>-30.700000000000628</v>
      </c>
      <c r="V12" s="7">
        <f t="shared" si="39"/>
        <v>572.20000000000209</v>
      </c>
      <c r="W12" s="7">
        <f t="shared" si="39"/>
        <v>515.09999999999968</v>
      </c>
      <c r="X12" s="7">
        <f t="shared" si="39"/>
        <v>714.19999999999777</v>
      </c>
      <c r="Y12" s="7">
        <f t="shared" si="39"/>
        <v>768.60079999999948</v>
      </c>
      <c r="Z12" s="7">
        <f t="shared" si="39"/>
        <v>840.210556</v>
      </c>
      <c r="AA12" s="7">
        <f t="shared" si="39"/>
        <v>879.37881403999995</v>
      </c>
      <c r="AB12" s="7">
        <f t="shared" si="39"/>
        <v>872.36922583359933</v>
      </c>
      <c r="AC12" s="7">
        <f t="shared" si="39"/>
        <v>865.18320664048406</v>
      </c>
      <c r="AD12" s="7">
        <f t="shared" si="39"/>
        <v>857.81476812446749</v>
      </c>
      <c r="AE12" s="7">
        <f t="shared" ref="AE12:AI12" si="40">AE8-AE9-AE10-AE11</f>
        <v>895.00473872359782</v>
      </c>
      <c r="AF12" s="7">
        <f t="shared" si="40"/>
        <v>933.34234864668633</v>
      </c>
      <c r="AG12" s="7">
        <f t="shared" si="40"/>
        <v>972.85255404773579</v>
      </c>
      <c r="AH12" s="7">
        <f t="shared" si="40"/>
        <v>1013.5608505878228</v>
      </c>
      <c r="AI12" s="7">
        <f t="shared" si="40"/>
        <v>1055.4932844255673</v>
      </c>
    </row>
    <row r="13" spans="2:35" x14ac:dyDescent="0.3">
      <c r="B13" t="s">
        <v>22</v>
      </c>
      <c r="C13" s="5">
        <v>-15.8</v>
      </c>
      <c r="D13" s="5">
        <f>S13-C13</f>
        <v>-18.999999999999996</v>
      </c>
      <c r="E13" s="5">
        <v>-26.4</v>
      </c>
      <c r="F13" s="5">
        <f>T13-E13</f>
        <v>-20.5</v>
      </c>
      <c r="G13" s="5">
        <v>-28.3</v>
      </c>
      <c r="H13" s="12">
        <f>U13-G13</f>
        <v>-29.099999999999998</v>
      </c>
      <c r="I13" s="5">
        <v>-16</v>
      </c>
      <c r="J13" s="12">
        <f>V13-I13</f>
        <v>-17.899999999999999</v>
      </c>
      <c r="K13" s="5">
        <v>-137.69999999999999</v>
      </c>
      <c r="L13" s="12">
        <f>W13-K13</f>
        <v>-28.400000000000006</v>
      </c>
      <c r="M13" s="5">
        <v>-102.3</v>
      </c>
      <c r="N13" s="12">
        <f>X13-M13</f>
        <v>-44.399999999999991</v>
      </c>
      <c r="O13" s="5"/>
      <c r="P13" s="5"/>
      <c r="R13" s="5">
        <v>-24.1</v>
      </c>
      <c r="S13" s="5">
        <v>-34.799999999999997</v>
      </c>
      <c r="T13" s="5">
        <v>-46.9</v>
      </c>
      <c r="U13" s="5">
        <v>-57.4</v>
      </c>
      <c r="V13" s="5">
        <v>-33.9</v>
      </c>
      <c r="W13" s="5">
        <v>-166.1</v>
      </c>
      <c r="X13" s="5">
        <v>-146.69999999999999</v>
      </c>
      <c r="Y13" s="5">
        <f t="shared" ref="Y13:AD13" si="41">X13-X18*0.01</f>
        <v>-151.01199999999997</v>
      </c>
      <c r="Z13" s="5">
        <f t="shared" si="41"/>
        <v>-156.17790159999996</v>
      </c>
      <c r="AA13" s="5">
        <f t="shared" si="41"/>
        <v>-161.86851892319996</v>
      </c>
      <c r="AB13" s="5">
        <f t="shared" si="41"/>
        <v>-167.86030735514237</v>
      </c>
      <c r="AC13" s="5">
        <f t="shared" si="41"/>
        <v>-173.83200175967556</v>
      </c>
      <c r="AD13" s="5">
        <f t="shared" si="41"/>
        <v>-179.78209676741079</v>
      </c>
      <c r="AE13" s="5">
        <f t="shared" ref="AE13" si="42">AD13-AD18*0.01</f>
        <v>-185.70903325607739</v>
      </c>
      <c r="AF13" s="5">
        <f t="shared" ref="AF13" si="43">AE13-AE18*0.01</f>
        <v>-191.92442567870282</v>
      </c>
      <c r="AG13" s="5">
        <f t="shared" ref="AG13" si="44">AF13-AF18*0.01</f>
        <v>-198.43819307793592</v>
      </c>
      <c r="AH13" s="5">
        <f t="shared" ref="AH13" si="45">AG13-AG18*0.01</f>
        <v>-205.26049728656054</v>
      </c>
      <c r="AI13" s="5">
        <f t="shared" ref="AI13" si="46">AH13-AH18*0.01</f>
        <v>-212.40174839021358</v>
      </c>
    </row>
    <row r="14" spans="2:35" x14ac:dyDescent="0.3">
      <c r="B14" t="s">
        <v>23</v>
      </c>
      <c r="C14" s="5">
        <v>54.8</v>
      </c>
      <c r="D14" s="5">
        <f>S14-C14</f>
        <v>193.89999999999998</v>
      </c>
      <c r="E14" s="5">
        <v>120</v>
      </c>
      <c r="F14" s="5">
        <f>T14-E14</f>
        <v>114.5</v>
      </c>
      <c r="G14" s="5">
        <v>106.5</v>
      </c>
      <c r="H14" s="12">
        <f>U14-G14</f>
        <v>129.6</v>
      </c>
      <c r="I14" s="5">
        <v>110.7</v>
      </c>
      <c r="J14" s="12">
        <f>V14-I14</f>
        <v>103.7</v>
      </c>
      <c r="K14" s="5">
        <v>100.7</v>
      </c>
      <c r="L14" s="12">
        <f>W14-K14</f>
        <v>104.8</v>
      </c>
      <c r="M14" s="5">
        <v>91.7</v>
      </c>
      <c r="N14" s="12">
        <f>X14-M14</f>
        <v>96.7</v>
      </c>
      <c r="O14" s="5"/>
      <c r="P14" s="5"/>
      <c r="R14" s="5">
        <v>113.8</v>
      </c>
      <c r="S14" s="5">
        <v>248.7</v>
      </c>
      <c r="T14" s="5">
        <v>234.5</v>
      </c>
      <c r="U14" s="5">
        <v>236.1</v>
      </c>
      <c r="V14" s="5">
        <v>214.4</v>
      </c>
      <c r="W14" s="5">
        <v>205.5</v>
      </c>
      <c r="X14" s="5">
        <v>188.4</v>
      </c>
      <c r="Y14" s="5">
        <f>X14*1.01</f>
        <v>190.28400000000002</v>
      </c>
      <c r="Z14" s="5">
        <f>Y14*1.01</f>
        <v>192.18684000000002</v>
      </c>
      <c r="AA14" s="5">
        <f t="shared" ref="AA14:AI14" si="47">Z14*1.01</f>
        <v>194.10870840000001</v>
      </c>
      <c r="AB14" s="5">
        <f t="shared" si="47"/>
        <v>196.04979548400001</v>
      </c>
      <c r="AC14" s="5">
        <f t="shared" si="47"/>
        <v>198.01029343884002</v>
      </c>
      <c r="AD14" s="5">
        <f t="shared" si="47"/>
        <v>199.99039637322844</v>
      </c>
      <c r="AE14" s="5">
        <f t="shared" si="47"/>
        <v>201.99030033696073</v>
      </c>
      <c r="AF14" s="5">
        <f t="shared" si="47"/>
        <v>204.01020334033035</v>
      </c>
      <c r="AG14" s="5">
        <f t="shared" si="47"/>
        <v>206.05030537373366</v>
      </c>
      <c r="AH14" s="5">
        <f t="shared" si="47"/>
        <v>208.110808427471</v>
      </c>
      <c r="AI14" s="5">
        <f t="shared" si="47"/>
        <v>210.19191651174572</v>
      </c>
    </row>
    <row r="15" spans="2:35" s="1" customFormat="1" x14ac:dyDescent="0.3">
      <c r="B15" s="1" t="s">
        <v>24</v>
      </c>
      <c r="C15" s="7">
        <f t="shared" ref="C15:N15" si="48">C12-C13-C14</f>
        <v>126.7</v>
      </c>
      <c r="D15" s="7">
        <f t="shared" si="48"/>
        <v>-42.499999999998579</v>
      </c>
      <c r="E15" s="7">
        <f t="shared" si="48"/>
        <v>158.80000000000001</v>
      </c>
      <c r="F15" s="7">
        <f t="shared" si="48"/>
        <v>-91.60000000000062</v>
      </c>
      <c r="G15" s="7">
        <f t="shared" si="48"/>
        <v>-87.6</v>
      </c>
      <c r="H15" s="7">
        <f t="shared" si="48"/>
        <v>-121.80000000000062</v>
      </c>
      <c r="I15" s="7">
        <f t="shared" si="48"/>
        <v>187.3</v>
      </c>
      <c r="J15" s="7">
        <f t="shared" si="48"/>
        <v>204.40000000000208</v>
      </c>
      <c r="K15" s="7">
        <f t="shared" si="48"/>
        <v>208.5</v>
      </c>
      <c r="L15" s="7">
        <f t="shared" si="48"/>
        <v>267.19999999999965</v>
      </c>
      <c r="M15" s="7">
        <f t="shared" si="48"/>
        <v>325.60000000000002</v>
      </c>
      <c r="N15" s="7">
        <f t="shared" si="48"/>
        <v>346.89999999999776</v>
      </c>
      <c r="O15" s="7"/>
      <c r="P15" s="7"/>
      <c r="R15" s="7">
        <f>R12-R13-R14</f>
        <v>66.8</v>
      </c>
      <c r="S15" s="7">
        <f>S12-S13-S14</f>
        <v>84.20000000000141</v>
      </c>
      <c r="T15" s="7">
        <f>T12-T13-T14</f>
        <v>67.199999999999363</v>
      </c>
      <c r="U15" s="7">
        <f t="shared" ref="U15:AD15" si="49">U12-U13-U14</f>
        <v>-209.40000000000063</v>
      </c>
      <c r="V15" s="7">
        <f t="shared" si="49"/>
        <v>391.70000000000209</v>
      </c>
      <c r="W15" s="7">
        <f t="shared" si="49"/>
        <v>475.6999999999997</v>
      </c>
      <c r="X15" s="7">
        <f t="shared" si="49"/>
        <v>672.49999999999784</v>
      </c>
      <c r="Y15" s="7">
        <f t="shared" si="49"/>
        <v>729.32879999999943</v>
      </c>
      <c r="Z15" s="7">
        <f t="shared" si="49"/>
        <v>804.20161759999996</v>
      </c>
      <c r="AA15" s="7">
        <f t="shared" si="49"/>
        <v>847.13862456319976</v>
      </c>
      <c r="AB15" s="7">
        <f t="shared" si="49"/>
        <v>844.17973770474168</v>
      </c>
      <c r="AC15" s="7">
        <f t="shared" si="49"/>
        <v>841.00491496131974</v>
      </c>
      <c r="AD15" s="7">
        <f t="shared" si="49"/>
        <v>837.60646851864988</v>
      </c>
      <c r="AE15" s="7">
        <f t="shared" ref="AE15:AI15" si="50">AE12-AE13-AE14</f>
        <v>878.72347164271446</v>
      </c>
      <c r="AF15" s="7">
        <f t="shared" si="50"/>
        <v>921.25657098505883</v>
      </c>
      <c r="AG15" s="7">
        <f t="shared" si="50"/>
        <v>965.24044175193808</v>
      </c>
      <c r="AH15" s="7">
        <f t="shared" si="50"/>
        <v>1010.7105394469122</v>
      </c>
      <c r="AI15" s="7">
        <f t="shared" si="50"/>
        <v>1057.7031163040351</v>
      </c>
    </row>
    <row r="16" spans="2:35" x14ac:dyDescent="0.3">
      <c r="B16" t="s">
        <v>25</v>
      </c>
      <c r="C16" s="5">
        <v>36.9</v>
      </c>
      <c r="D16" s="5">
        <f>S16-C16</f>
        <v>2</v>
      </c>
      <c r="E16" s="5">
        <v>36.4</v>
      </c>
      <c r="F16" s="5">
        <f>T16-E16</f>
        <v>3.3999999999999986</v>
      </c>
      <c r="G16" s="5">
        <v>-16</v>
      </c>
      <c r="H16" s="12">
        <f>U16-G16</f>
        <v>7.8000000000000007</v>
      </c>
      <c r="I16" s="5">
        <v>27.4</v>
      </c>
      <c r="J16" s="12">
        <f>V16-I16</f>
        <v>55.300000000000004</v>
      </c>
      <c r="K16" s="5">
        <v>41.8</v>
      </c>
      <c r="L16" s="12">
        <f>W16-K16</f>
        <v>69.400000000000006</v>
      </c>
      <c r="M16" s="5">
        <v>118.7</v>
      </c>
      <c r="N16" s="12">
        <f>X16-M16</f>
        <v>128.60000000000002</v>
      </c>
      <c r="O16" s="5"/>
      <c r="P16" s="5"/>
      <c r="R16" s="5">
        <v>37.700000000000003</v>
      </c>
      <c r="S16" s="5">
        <v>38.9</v>
      </c>
      <c r="T16" s="5">
        <v>39.799999999999997</v>
      </c>
      <c r="U16" s="5">
        <v>-8.1999999999999993</v>
      </c>
      <c r="V16" s="5">
        <v>82.7</v>
      </c>
      <c r="W16" s="5">
        <v>111.2</v>
      </c>
      <c r="X16" s="5">
        <v>247.3</v>
      </c>
      <c r="Y16" s="5">
        <f>Y15*0.3</f>
        <v>218.79863999999984</v>
      </c>
      <c r="Z16" s="5">
        <f t="shared" ref="Z16:AI16" si="51">Z15*0.3</f>
        <v>241.26048527999998</v>
      </c>
      <c r="AA16" s="5">
        <f t="shared" si="51"/>
        <v>254.1415873689599</v>
      </c>
      <c r="AB16" s="5">
        <f t="shared" si="51"/>
        <v>253.25392131142249</v>
      </c>
      <c r="AC16" s="5">
        <f t="shared" si="51"/>
        <v>252.30147448839591</v>
      </c>
      <c r="AD16" s="5">
        <f t="shared" si="51"/>
        <v>251.28194055559496</v>
      </c>
      <c r="AE16" s="5">
        <f t="shared" si="51"/>
        <v>263.61704149281434</v>
      </c>
      <c r="AF16" s="5">
        <f t="shared" si="51"/>
        <v>276.37697129551765</v>
      </c>
      <c r="AG16" s="5">
        <f t="shared" si="51"/>
        <v>289.57213252558142</v>
      </c>
      <c r="AH16" s="5">
        <f t="shared" si="51"/>
        <v>303.21316183407367</v>
      </c>
      <c r="AI16" s="5">
        <f t="shared" si="51"/>
        <v>317.31093489121054</v>
      </c>
    </row>
    <row r="17" spans="2:149" x14ac:dyDescent="0.3">
      <c r="B17" t="s">
        <v>27</v>
      </c>
      <c r="C17" s="5">
        <v>1.9</v>
      </c>
      <c r="D17" s="5">
        <f>S17-C17</f>
        <v>1.7000000000000002</v>
      </c>
      <c r="E17" s="5">
        <v>4.3</v>
      </c>
      <c r="F17" s="5">
        <f>T17-E17</f>
        <v>-0.59999999999999964</v>
      </c>
      <c r="G17" s="5">
        <v>-4.2</v>
      </c>
      <c r="H17" s="12">
        <f>U17-G17</f>
        <v>1</v>
      </c>
      <c r="I17" s="5">
        <v>-0.4</v>
      </c>
      <c r="J17" s="12">
        <f>V17-I17</f>
        <v>2.8</v>
      </c>
      <c r="K17" s="5">
        <v>0.6</v>
      </c>
      <c r="L17" s="12">
        <f>W17-K17</f>
        <v>0.50000000000000011</v>
      </c>
      <c r="M17" s="5">
        <v>-1.1000000000000001</v>
      </c>
      <c r="N17" s="12">
        <f>X17-M17</f>
        <v>-4.9000000000000004</v>
      </c>
      <c r="O17" s="5"/>
      <c r="P17" s="5"/>
      <c r="R17" s="5">
        <v>3.4</v>
      </c>
      <c r="S17" s="5">
        <v>3.6</v>
      </c>
      <c r="T17" s="5">
        <v>3.7</v>
      </c>
      <c r="U17" s="5">
        <v>-3.2</v>
      </c>
      <c r="V17" s="5">
        <v>2.4</v>
      </c>
      <c r="W17" s="5">
        <v>1.1000000000000001</v>
      </c>
      <c r="X17" s="5">
        <v>-6</v>
      </c>
      <c r="Y17" s="5">
        <f t="shared" ref="Y17:AD17" si="52">X17*1.01</f>
        <v>-6.0600000000000005</v>
      </c>
      <c r="Z17" s="5">
        <f t="shared" si="52"/>
        <v>-6.1206000000000005</v>
      </c>
      <c r="AA17" s="5">
        <f t="shared" si="52"/>
        <v>-6.1818060000000008</v>
      </c>
      <c r="AB17" s="5">
        <f t="shared" si="52"/>
        <v>-6.243624060000001</v>
      </c>
      <c r="AC17" s="5">
        <f t="shared" si="52"/>
        <v>-6.3060603006000013</v>
      </c>
      <c r="AD17" s="5">
        <f t="shared" si="52"/>
        <v>-6.3691209036060012</v>
      </c>
      <c r="AE17" s="5">
        <f t="shared" ref="AE17" si="53">AD17*1.01</f>
        <v>-6.4328121126420612</v>
      </c>
      <c r="AF17" s="5">
        <f t="shared" ref="AF17" si="54">AE17*1.01</f>
        <v>-6.4971402337684818</v>
      </c>
      <c r="AG17" s="5">
        <f t="shared" ref="AG17" si="55">AF17*1.01</f>
        <v>-6.5621116361061667</v>
      </c>
      <c r="AH17" s="5">
        <f t="shared" ref="AH17" si="56">AG17*1.01</f>
        <v>-6.627732752467228</v>
      </c>
      <c r="AI17" s="5">
        <f t="shared" ref="AI17" si="57">AH17*1.01</f>
        <v>-6.6940100799919007</v>
      </c>
    </row>
    <row r="18" spans="2:149" s="1" customFormat="1" x14ac:dyDescent="0.3">
      <c r="B18" s="1" t="s">
        <v>26</v>
      </c>
      <c r="C18" s="7">
        <f>C15-C16-C17</f>
        <v>87.9</v>
      </c>
      <c r="D18" s="7">
        <f>D15-D16-D17</f>
        <v>-46.199999999998582</v>
      </c>
      <c r="E18" s="7">
        <f>E15-E16-E17</f>
        <v>118.10000000000001</v>
      </c>
      <c r="F18" s="7">
        <f>F15-F16-F17</f>
        <v>-94.400000000000631</v>
      </c>
      <c r="G18" s="7">
        <f>G15-G16-G17</f>
        <v>-67.399999999999991</v>
      </c>
      <c r="H18" s="7">
        <f t="shared" ref="H18:P18" si="58">H15-H16-H17</f>
        <v>-130.60000000000062</v>
      </c>
      <c r="I18" s="7">
        <f t="shared" si="58"/>
        <v>160.30000000000001</v>
      </c>
      <c r="J18" s="7">
        <f t="shared" si="58"/>
        <v>146.30000000000206</v>
      </c>
      <c r="K18" s="7">
        <f t="shared" si="58"/>
        <v>166.1</v>
      </c>
      <c r="L18" s="7">
        <f t="shared" si="58"/>
        <v>197.29999999999964</v>
      </c>
      <c r="M18" s="7">
        <f t="shared" si="58"/>
        <v>208.00000000000003</v>
      </c>
      <c r="N18" s="7">
        <f t="shared" si="58"/>
        <v>223.19999999999774</v>
      </c>
      <c r="O18" s="7">
        <f t="shared" si="58"/>
        <v>0</v>
      </c>
      <c r="P18" s="7">
        <f t="shared" si="58"/>
        <v>0</v>
      </c>
      <c r="R18" s="7">
        <f>R15-R16-R17</f>
        <v>25.699999999999996</v>
      </c>
      <c r="S18" s="7">
        <f>S15-S16-S17</f>
        <v>41.70000000000141</v>
      </c>
      <c r="T18" s="7">
        <f>T15-T16-T17</f>
        <v>23.699999999999367</v>
      </c>
      <c r="U18" s="7">
        <f t="shared" ref="U18:AD18" si="59">U15-U16-U17</f>
        <v>-198.00000000000065</v>
      </c>
      <c r="V18" s="7">
        <f t="shared" si="59"/>
        <v>306.60000000000213</v>
      </c>
      <c r="W18" s="7">
        <f t="shared" si="59"/>
        <v>363.39999999999969</v>
      </c>
      <c r="X18" s="7">
        <f t="shared" si="59"/>
        <v>431.19999999999783</v>
      </c>
      <c r="Y18" s="7">
        <f t="shared" si="59"/>
        <v>516.59015999999951</v>
      </c>
      <c r="Z18" s="7">
        <f t="shared" si="59"/>
        <v>569.06173231999992</v>
      </c>
      <c r="AA18" s="7">
        <f t="shared" si="59"/>
        <v>599.1788431942399</v>
      </c>
      <c r="AB18" s="7">
        <f t="shared" si="59"/>
        <v>597.16944045331923</v>
      </c>
      <c r="AC18" s="7">
        <f t="shared" si="59"/>
        <v>595.00950077352388</v>
      </c>
      <c r="AD18" s="7">
        <f t="shared" si="59"/>
        <v>592.69364886666096</v>
      </c>
      <c r="AE18" s="7">
        <f t="shared" ref="AE18:AI18" si="60">AE15-AE16-AE17</f>
        <v>621.53924226254219</v>
      </c>
      <c r="AF18" s="7">
        <f t="shared" si="60"/>
        <v>651.37673992330974</v>
      </c>
      <c r="AG18" s="7">
        <f t="shared" si="60"/>
        <v>682.23042086246278</v>
      </c>
      <c r="AH18" s="7">
        <f t="shared" si="60"/>
        <v>714.12511036530577</v>
      </c>
      <c r="AI18" s="7">
        <f t="shared" si="60"/>
        <v>747.08619149281651</v>
      </c>
      <c r="AJ18" s="1">
        <f>AI18*(1+$AL$27)</f>
        <v>739.61532957788836</v>
      </c>
      <c r="AK18" s="1">
        <f t="shared" ref="AK18:CV18" si="61">AJ18*(1+$AL$27)</f>
        <v>732.21917628210952</v>
      </c>
      <c r="AL18" s="1">
        <f t="shared" si="61"/>
        <v>724.89698451928837</v>
      </c>
      <c r="AM18" s="1">
        <f t="shared" si="61"/>
        <v>717.64801467409552</v>
      </c>
      <c r="AN18" s="1">
        <f t="shared" si="61"/>
        <v>710.47153452735461</v>
      </c>
      <c r="AO18" s="1">
        <f t="shared" si="61"/>
        <v>703.36681918208103</v>
      </c>
      <c r="AP18" s="1">
        <f t="shared" si="61"/>
        <v>696.33315099026026</v>
      </c>
      <c r="AQ18" s="1">
        <f t="shared" si="61"/>
        <v>689.36981948035771</v>
      </c>
      <c r="AR18" s="1">
        <f t="shared" si="61"/>
        <v>682.47612128555409</v>
      </c>
      <c r="AS18" s="1">
        <f t="shared" si="61"/>
        <v>675.65136007269859</v>
      </c>
      <c r="AT18" s="1">
        <f t="shared" si="61"/>
        <v>668.89484647197162</v>
      </c>
      <c r="AU18" s="1">
        <f t="shared" si="61"/>
        <v>662.2058980072519</v>
      </c>
      <c r="AV18" s="1">
        <f t="shared" si="61"/>
        <v>655.58383902717935</v>
      </c>
      <c r="AW18" s="1">
        <f t="shared" si="61"/>
        <v>649.02800063690756</v>
      </c>
      <c r="AX18" s="1">
        <f t="shared" si="61"/>
        <v>642.5377206305385</v>
      </c>
      <c r="AY18" s="1">
        <f t="shared" si="61"/>
        <v>636.11234342423313</v>
      </c>
      <c r="AZ18" s="1">
        <f t="shared" si="61"/>
        <v>629.75121998999077</v>
      </c>
      <c r="BA18" s="1">
        <f t="shared" si="61"/>
        <v>623.4537077900909</v>
      </c>
      <c r="BB18" s="1">
        <f t="shared" si="61"/>
        <v>617.21917071219002</v>
      </c>
      <c r="BC18" s="1">
        <f t="shared" si="61"/>
        <v>611.04697900506812</v>
      </c>
      <c r="BD18" s="1">
        <f t="shared" si="61"/>
        <v>604.9365092150174</v>
      </c>
      <c r="BE18" s="1">
        <f t="shared" si="61"/>
        <v>598.8871441228672</v>
      </c>
      <c r="BF18" s="1">
        <f t="shared" si="61"/>
        <v>592.89827268163856</v>
      </c>
      <c r="BG18" s="1">
        <f t="shared" si="61"/>
        <v>586.96928995482222</v>
      </c>
      <c r="BH18" s="1">
        <f t="shared" si="61"/>
        <v>581.09959705527399</v>
      </c>
      <c r="BI18" s="1">
        <f t="shared" si="61"/>
        <v>575.28860108472122</v>
      </c>
      <c r="BJ18" s="1">
        <f t="shared" si="61"/>
        <v>569.53571507387403</v>
      </c>
      <c r="BK18" s="1">
        <f t="shared" si="61"/>
        <v>563.84035792313523</v>
      </c>
      <c r="BL18" s="1">
        <f t="shared" si="61"/>
        <v>558.20195434390382</v>
      </c>
      <c r="BM18" s="1">
        <f t="shared" si="61"/>
        <v>552.61993480046476</v>
      </c>
      <c r="BN18" s="1">
        <f t="shared" si="61"/>
        <v>547.09373545246012</v>
      </c>
      <c r="BO18" s="1">
        <f t="shared" si="61"/>
        <v>541.62279809793552</v>
      </c>
      <c r="BP18" s="1">
        <f t="shared" si="61"/>
        <v>536.20657011695619</v>
      </c>
      <c r="BQ18" s="1">
        <f t="shared" si="61"/>
        <v>530.84450441578667</v>
      </c>
      <c r="BR18" s="1">
        <f t="shared" si="61"/>
        <v>525.53605937162877</v>
      </c>
      <c r="BS18" s="1">
        <f t="shared" si="61"/>
        <v>520.28069877791245</v>
      </c>
      <c r="BT18" s="1">
        <f t="shared" si="61"/>
        <v>515.07789179013332</v>
      </c>
      <c r="BU18" s="1">
        <f t="shared" si="61"/>
        <v>509.92711287223199</v>
      </c>
      <c r="BV18" s="1">
        <f t="shared" si="61"/>
        <v>504.82784174350968</v>
      </c>
      <c r="BW18" s="1">
        <f t="shared" si="61"/>
        <v>499.77956332607459</v>
      </c>
      <c r="BX18" s="1">
        <f t="shared" si="61"/>
        <v>494.78176769281384</v>
      </c>
      <c r="BY18" s="1">
        <f t="shared" si="61"/>
        <v>489.8339500158857</v>
      </c>
      <c r="BZ18" s="1">
        <f t="shared" si="61"/>
        <v>484.93561051572686</v>
      </c>
      <c r="CA18" s="1">
        <f t="shared" si="61"/>
        <v>480.08625441056961</v>
      </c>
      <c r="CB18" s="1">
        <f t="shared" si="61"/>
        <v>475.2853918664639</v>
      </c>
      <c r="CC18" s="1">
        <f t="shared" si="61"/>
        <v>470.53253794779926</v>
      </c>
      <c r="CD18" s="1">
        <f t="shared" si="61"/>
        <v>465.82721256832127</v>
      </c>
      <c r="CE18" s="1">
        <f t="shared" si="61"/>
        <v>461.16894044263807</v>
      </c>
      <c r="CF18" s="1">
        <f t="shared" si="61"/>
        <v>456.55725103821169</v>
      </c>
      <c r="CG18" s="1">
        <f t="shared" si="61"/>
        <v>451.99167852782955</v>
      </c>
      <c r="CH18" s="1">
        <f t="shared" si="61"/>
        <v>447.47176174255122</v>
      </c>
      <c r="CI18" s="1">
        <f t="shared" si="61"/>
        <v>442.99704412512568</v>
      </c>
      <c r="CJ18" s="1">
        <f t="shared" si="61"/>
        <v>438.56707368387441</v>
      </c>
      <c r="CK18" s="1">
        <f t="shared" si="61"/>
        <v>434.18140294703568</v>
      </c>
      <c r="CL18" s="1">
        <f t="shared" si="61"/>
        <v>429.83958891756532</v>
      </c>
      <c r="CM18" s="1">
        <f t="shared" si="61"/>
        <v>425.54119302838967</v>
      </c>
      <c r="CN18" s="1">
        <f t="shared" si="61"/>
        <v>421.28578109810576</v>
      </c>
      <c r="CO18" s="1">
        <f t="shared" si="61"/>
        <v>417.07292328712469</v>
      </c>
      <c r="CP18" s="1">
        <f t="shared" si="61"/>
        <v>412.90219405425347</v>
      </c>
      <c r="CQ18" s="1">
        <f t="shared" si="61"/>
        <v>408.77317211371093</v>
      </c>
      <c r="CR18" s="1">
        <f t="shared" si="61"/>
        <v>404.68544039257381</v>
      </c>
      <c r="CS18" s="1">
        <f t="shared" si="61"/>
        <v>400.63858598864806</v>
      </c>
      <c r="CT18" s="1">
        <f t="shared" si="61"/>
        <v>396.63220012876155</v>
      </c>
      <c r="CU18" s="1">
        <f t="shared" si="61"/>
        <v>392.66587812747395</v>
      </c>
      <c r="CV18" s="1">
        <f t="shared" si="61"/>
        <v>388.73921934619921</v>
      </c>
      <c r="CW18" s="1">
        <f t="shared" ref="CW18:ES18" si="62">CV18*(1+$AL$27)</f>
        <v>384.8518271527372</v>
      </c>
      <c r="CX18" s="1">
        <f t="shared" si="62"/>
        <v>381.00330888120982</v>
      </c>
      <c r="CY18" s="1">
        <f t="shared" si="62"/>
        <v>377.19327579239774</v>
      </c>
      <c r="CZ18" s="1">
        <f t="shared" si="62"/>
        <v>373.42134303447375</v>
      </c>
      <c r="DA18" s="1">
        <f t="shared" si="62"/>
        <v>369.68712960412898</v>
      </c>
      <c r="DB18" s="1">
        <f t="shared" si="62"/>
        <v>365.99025830808768</v>
      </c>
      <c r="DC18" s="1">
        <f t="shared" si="62"/>
        <v>362.33035572500677</v>
      </c>
      <c r="DD18" s="1">
        <f t="shared" si="62"/>
        <v>358.70705216775667</v>
      </c>
      <c r="DE18" s="1">
        <f t="shared" si="62"/>
        <v>355.11998164607911</v>
      </c>
      <c r="DF18" s="1">
        <f t="shared" si="62"/>
        <v>351.56878182961833</v>
      </c>
      <c r="DG18" s="1">
        <f t="shared" si="62"/>
        <v>348.05309401132212</v>
      </c>
      <c r="DH18" s="1">
        <f t="shared" si="62"/>
        <v>344.57256307120889</v>
      </c>
      <c r="DI18" s="1">
        <f t="shared" si="62"/>
        <v>341.12683744049679</v>
      </c>
      <c r="DJ18" s="1">
        <f t="shared" si="62"/>
        <v>337.7155690660918</v>
      </c>
      <c r="DK18" s="1">
        <f t="shared" si="62"/>
        <v>334.33841337543089</v>
      </c>
      <c r="DL18" s="1">
        <f t="shared" si="62"/>
        <v>330.9950292416766</v>
      </c>
      <c r="DM18" s="1">
        <f t="shared" si="62"/>
        <v>327.68507894925983</v>
      </c>
      <c r="DN18" s="1">
        <f t="shared" si="62"/>
        <v>324.40822815976725</v>
      </c>
      <c r="DO18" s="1">
        <f t="shared" si="62"/>
        <v>321.16414587816956</v>
      </c>
      <c r="DP18" s="1">
        <f t="shared" si="62"/>
        <v>317.95250441938788</v>
      </c>
      <c r="DQ18" s="1">
        <f t="shared" si="62"/>
        <v>314.77297937519398</v>
      </c>
      <c r="DR18" s="1">
        <f t="shared" si="62"/>
        <v>311.62524958144206</v>
      </c>
      <c r="DS18" s="1">
        <f t="shared" si="62"/>
        <v>308.50899708562764</v>
      </c>
      <c r="DT18" s="1">
        <f t="shared" si="62"/>
        <v>305.42390711477134</v>
      </c>
      <c r="DU18" s="1">
        <f t="shared" si="62"/>
        <v>302.36966804362362</v>
      </c>
      <c r="DV18" s="1">
        <f t="shared" si="62"/>
        <v>299.3459713631874</v>
      </c>
      <c r="DW18" s="1">
        <f t="shared" si="62"/>
        <v>296.35251164955554</v>
      </c>
      <c r="DX18" s="1">
        <f t="shared" si="62"/>
        <v>293.38898653306001</v>
      </c>
      <c r="DY18" s="1">
        <f t="shared" si="62"/>
        <v>290.45509666772938</v>
      </c>
      <c r="DZ18" s="1">
        <f t="shared" si="62"/>
        <v>287.5505457010521</v>
      </c>
      <c r="EA18" s="1">
        <f t="shared" si="62"/>
        <v>284.67504024404155</v>
      </c>
      <c r="EB18" s="1">
        <f t="shared" si="62"/>
        <v>281.82828984160113</v>
      </c>
      <c r="EC18" s="1">
        <f t="shared" si="62"/>
        <v>279.01000694318515</v>
      </c>
      <c r="ED18" s="1">
        <f t="shared" si="62"/>
        <v>276.2199068737533</v>
      </c>
      <c r="EE18" s="1">
        <f t="shared" si="62"/>
        <v>273.45770780501579</v>
      </c>
      <c r="EF18" s="1">
        <f t="shared" si="62"/>
        <v>270.72313072696562</v>
      </c>
      <c r="EG18" s="1">
        <f t="shared" si="62"/>
        <v>268.01589941969598</v>
      </c>
      <c r="EH18" s="1">
        <f t="shared" si="62"/>
        <v>265.33574042549901</v>
      </c>
      <c r="EI18" s="1">
        <f t="shared" si="62"/>
        <v>262.68238302124399</v>
      </c>
      <c r="EJ18" s="1">
        <f t="shared" si="62"/>
        <v>260.05555919103153</v>
      </c>
      <c r="EK18" s="1">
        <f t="shared" si="62"/>
        <v>257.4550035991212</v>
      </c>
      <c r="EL18" s="1">
        <f t="shared" si="62"/>
        <v>254.88045356312998</v>
      </c>
      <c r="EM18" s="1">
        <f t="shared" si="62"/>
        <v>252.33164902749868</v>
      </c>
      <c r="EN18" s="1">
        <f t="shared" si="62"/>
        <v>249.80833253722369</v>
      </c>
      <c r="EO18" s="1">
        <f t="shared" si="62"/>
        <v>247.31024921185144</v>
      </c>
      <c r="EP18" s="1">
        <f t="shared" si="62"/>
        <v>244.83714671973291</v>
      </c>
      <c r="EQ18" s="1">
        <f t="shared" si="62"/>
        <v>242.38877525253559</v>
      </c>
      <c r="ER18" s="1">
        <f t="shared" si="62"/>
        <v>239.96488750001024</v>
      </c>
      <c r="ES18" s="1">
        <f t="shared" si="62"/>
        <v>237.56523862501012</v>
      </c>
    </row>
    <row r="19" spans="2:149" x14ac:dyDescent="0.3">
      <c r="B19" t="s">
        <v>2</v>
      </c>
      <c r="C19" s="5">
        <v>1951.7</v>
      </c>
      <c r="D19" s="5">
        <v>1951.7</v>
      </c>
      <c r="E19" s="5">
        <v>1951.7</v>
      </c>
      <c r="F19" s="5">
        <v>1951.7</v>
      </c>
      <c r="G19" s="5">
        <v>1951.7</v>
      </c>
      <c r="H19" s="5">
        <v>1951.7</v>
      </c>
      <c r="I19" s="5">
        <v>1951.7</v>
      </c>
      <c r="J19" s="5">
        <v>1951.7</v>
      </c>
      <c r="K19" s="5">
        <v>1951.7</v>
      </c>
      <c r="L19" s="5">
        <v>1951.7</v>
      </c>
      <c r="M19" s="5">
        <v>1951.7</v>
      </c>
      <c r="N19" s="5">
        <v>1973.2</v>
      </c>
      <c r="O19" s="5">
        <v>1973.2</v>
      </c>
      <c r="P19" s="5">
        <v>1973.2</v>
      </c>
      <c r="R19" s="5">
        <v>1951.7</v>
      </c>
      <c r="S19" s="5">
        <v>1951.7</v>
      </c>
      <c r="T19" s="5">
        <v>1951.7</v>
      </c>
      <c r="U19" s="5">
        <v>1951.7</v>
      </c>
      <c r="V19" s="5">
        <v>1951.7</v>
      </c>
      <c r="W19" s="5">
        <v>1951.7</v>
      </c>
      <c r="X19" s="5">
        <v>1973.2</v>
      </c>
      <c r="Y19" s="5">
        <v>1973.2</v>
      </c>
      <c r="Z19" s="5">
        <v>1973.2</v>
      </c>
      <c r="AA19" s="5">
        <v>1973.2</v>
      </c>
      <c r="AB19" s="5">
        <v>1973.2</v>
      </c>
      <c r="AC19" s="5">
        <v>1973.2</v>
      </c>
      <c r="AD19" s="5">
        <v>1973.2</v>
      </c>
      <c r="AE19" s="5">
        <v>1973.2</v>
      </c>
      <c r="AF19" s="5">
        <v>1973.2</v>
      </c>
      <c r="AG19" s="5">
        <v>1973.2</v>
      </c>
      <c r="AH19" s="5">
        <v>1973.2</v>
      </c>
      <c r="AI19" s="5">
        <v>1973.2</v>
      </c>
    </row>
    <row r="20" spans="2:149" s="1" customFormat="1" x14ac:dyDescent="0.3">
      <c r="B20" s="1" t="s">
        <v>28</v>
      </c>
      <c r="C20" s="8">
        <f>C18/C19</f>
        <v>4.503765947635395E-2</v>
      </c>
      <c r="D20" s="8">
        <f>D18/D19</f>
        <v>-2.36716708510522E-2</v>
      </c>
      <c r="E20" s="8">
        <f>E18/E19</f>
        <v>6.0511349080288983E-2</v>
      </c>
      <c r="F20" s="8">
        <f>F18/F19</f>
        <v>-4.8368089357995914E-2</v>
      </c>
      <c r="G20" s="8">
        <f>G18/G19</f>
        <v>-3.4533996003484134E-2</v>
      </c>
      <c r="H20" s="8">
        <f t="shared" ref="H20:M20" si="63">H18/H19</f>
        <v>-6.6916021929600153E-2</v>
      </c>
      <c r="I20" s="8">
        <f t="shared" si="63"/>
        <v>8.2133524619562442E-2</v>
      </c>
      <c r="J20" s="8">
        <f t="shared" si="63"/>
        <v>7.4960291028335319E-2</v>
      </c>
      <c r="K20" s="8">
        <f t="shared" si="63"/>
        <v>8.510529282164267E-2</v>
      </c>
      <c r="L20" s="8">
        <f t="shared" si="63"/>
        <v>0.10109135625352239</v>
      </c>
      <c r="M20" s="8">
        <f t="shared" si="63"/>
        <v>0.10657375621253268</v>
      </c>
      <c r="N20" s="8">
        <f t="shared" ref="N20" si="64">N18/N19</f>
        <v>0.11311575106425996</v>
      </c>
      <c r="O20" s="8">
        <f t="shared" ref="O20" si="65">O18/O19</f>
        <v>0</v>
      </c>
      <c r="P20" s="8">
        <f t="shared" ref="P20" si="66">P18/P19</f>
        <v>0</v>
      </c>
      <c r="R20" s="8">
        <f>R18/R19</f>
        <v>1.3168007378183119E-2</v>
      </c>
      <c r="S20" s="8">
        <f>S18/S19</f>
        <v>2.136598862530174E-2</v>
      </c>
      <c r="T20" s="8">
        <f>T18/T19</f>
        <v>1.214325972229306E-2</v>
      </c>
      <c r="U20" s="8">
        <f t="shared" ref="U20:AD20" si="67">U18/U19</f>
        <v>-0.10145001793308431</v>
      </c>
      <c r="V20" s="8">
        <f t="shared" si="67"/>
        <v>0.15709381564789779</v>
      </c>
      <c r="W20" s="8">
        <f t="shared" si="67"/>
        <v>0.18619664907516509</v>
      </c>
      <c r="X20" s="8">
        <f t="shared" si="67"/>
        <v>0.21852827893776497</v>
      </c>
      <c r="Y20" s="8">
        <f t="shared" si="67"/>
        <v>0.26180324346239586</v>
      </c>
      <c r="Z20" s="8">
        <f t="shared" si="67"/>
        <v>0.28839536403811061</v>
      </c>
      <c r="AA20" s="8">
        <f t="shared" si="67"/>
        <v>0.30365844475686188</v>
      </c>
      <c r="AB20" s="8">
        <f t="shared" si="67"/>
        <v>0.30264009753360999</v>
      </c>
      <c r="AC20" s="8">
        <f t="shared" si="67"/>
        <v>0.30154545954466039</v>
      </c>
      <c r="AD20" s="8">
        <f t="shared" si="67"/>
        <v>0.30037180664233781</v>
      </c>
      <c r="AE20" s="8">
        <f t="shared" ref="AE20:AI20" si="68">AE18/AE19</f>
        <v>0.31499049374748744</v>
      </c>
      <c r="AF20" s="8">
        <f t="shared" si="68"/>
        <v>0.33011186900633982</v>
      </c>
      <c r="AG20" s="8">
        <f t="shared" si="68"/>
        <v>0.34574823680441047</v>
      </c>
      <c r="AH20" s="8">
        <f t="shared" si="68"/>
        <v>0.36191217837284906</v>
      </c>
      <c r="AI20" s="8">
        <f t="shared" si="68"/>
        <v>0.37861655761849611</v>
      </c>
    </row>
    <row r="22" spans="2:149" x14ac:dyDescent="0.3">
      <c r="B22" t="s">
        <v>37</v>
      </c>
      <c r="E22" s="10">
        <f t="shared" ref="E22:H22" si="69">E3/C3-1</f>
        <v>-7.8120411160058745E-2</v>
      </c>
      <c r="F22" s="10">
        <f t="shared" si="69"/>
        <v>-0.16708153416306837</v>
      </c>
      <c r="G22" s="10">
        <f t="shared" si="69"/>
        <v>-0.41561006690028668</v>
      </c>
      <c r="H22" s="10">
        <f t="shared" si="69"/>
        <v>-0.19382776286899239</v>
      </c>
      <c r="I22" s="10">
        <f t="shared" ref="I22:I25" si="70">I3/G3-1</f>
        <v>0.66484954208460523</v>
      </c>
      <c r="J22" s="10">
        <f t="shared" ref="J22:J25" si="71">J3/H3-1</f>
        <v>0.34763201694658807</v>
      </c>
      <c r="K22" s="10">
        <f t="shared" ref="K22:K25" si="72">K3/I3-1</f>
        <v>0.12920759659462999</v>
      </c>
      <c r="L22" s="10">
        <f t="shared" ref="L22:L25" si="73">L3/J3-1</f>
        <v>8.5723909504294538E-2</v>
      </c>
      <c r="M22" s="10">
        <f t="shared" ref="M22:M25" si="74">M3/K3-1</f>
        <v>5.4978831989793031E-2</v>
      </c>
      <c r="N22" s="10">
        <f t="shared" ref="N22:N25" si="75">N3/L3-1</f>
        <v>4.5708376421923491E-2</v>
      </c>
      <c r="O22" s="10">
        <f t="shared" ref="O22:O25" si="76">O3/M3-1</f>
        <v>4.0000000000000036E-2</v>
      </c>
      <c r="P22" s="10">
        <f t="shared" ref="P22:P25" si="77">P3/N3-1</f>
        <v>4.0000000000000036E-2</v>
      </c>
      <c r="R22" s="10"/>
      <c r="S22" s="10">
        <f>S3/R3-1</f>
        <v>-3.6420593843639271E-2</v>
      </c>
      <c r="T22" s="10">
        <f>T3/S3-1</f>
        <v>-9.2782630820117062E-2</v>
      </c>
      <c r="U22" s="10">
        <f t="shared" ref="U22:AD22" si="78">U3/T3-1</f>
        <v>-0.30229659406064002</v>
      </c>
      <c r="V22" s="10">
        <f t="shared" si="78"/>
        <v>0.4775792764627067</v>
      </c>
      <c r="W22" s="10">
        <f t="shared" si="78"/>
        <v>0.10579451682132812</v>
      </c>
      <c r="X22" s="10">
        <f t="shared" si="78"/>
        <v>5.0077905037859027E-2</v>
      </c>
      <c r="Y22" s="10">
        <f t="shared" si="78"/>
        <v>4.0000000000000036E-2</v>
      </c>
      <c r="Z22" s="10">
        <f t="shared" si="78"/>
        <v>3.0000000000000027E-2</v>
      </c>
      <c r="AA22" s="10">
        <f t="shared" si="78"/>
        <v>2.0000000000000018E-2</v>
      </c>
      <c r="AB22" s="10">
        <f t="shared" si="78"/>
        <v>1.0000000000000009E-2</v>
      </c>
      <c r="AC22" s="10">
        <f t="shared" si="78"/>
        <v>1.0000000000000009E-2</v>
      </c>
      <c r="AD22" s="10">
        <f t="shared" si="78"/>
        <v>1.0000000000000009E-2</v>
      </c>
      <c r="AE22" s="10">
        <f t="shared" ref="AE22:AE25" si="79">AE3/AD3-1</f>
        <v>1.0000000000000009E-2</v>
      </c>
      <c r="AF22" s="10">
        <f t="shared" ref="AF22:AF25" si="80">AF3/AE3-1</f>
        <v>1.0000000000000009E-2</v>
      </c>
      <c r="AG22" s="10">
        <f t="shared" ref="AG22:AG25" si="81">AG3/AF3-1</f>
        <v>1.0000000000000009E-2</v>
      </c>
      <c r="AH22" s="10">
        <f t="shared" ref="AH22:AH25" si="82">AH3/AG3-1</f>
        <v>1.0000000000000009E-2</v>
      </c>
      <c r="AI22" s="10">
        <f t="shared" ref="AI22:AI25" si="83">AI3/AH3-1</f>
        <v>1.0000000000000009E-2</v>
      </c>
    </row>
    <row r="23" spans="2:149" x14ac:dyDescent="0.3">
      <c r="B23" t="s">
        <v>38</v>
      </c>
      <c r="E23" s="10">
        <f t="shared" ref="E23:H23" si="84">E4/C4-1</f>
        <v>1.1588226930186352E-2</v>
      </c>
      <c r="F23" s="10">
        <f t="shared" si="84"/>
        <v>1.7781757707560297E-2</v>
      </c>
      <c r="G23" s="10">
        <f t="shared" si="84"/>
        <v>-2.5300442757749675E-3</v>
      </c>
      <c r="H23" s="10">
        <f t="shared" si="84"/>
        <v>3.6921820010055395E-2</v>
      </c>
      <c r="I23" s="10">
        <f t="shared" si="70"/>
        <v>0.10723596138941738</v>
      </c>
      <c r="J23" s="10">
        <f t="shared" si="71"/>
        <v>5.9607866905057705E-2</v>
      </c>
      <c r="K23" s="10">
        <f t="shared" si="72"/>
        <v>5.5520203627107856E-2</v>
      </c>
      <c r="L23" s="10">
        <f t="shared" si="73"/>
        <v>0.11551221186295257</v>
      </c>
      <c r="M23" s="10">
        <f t="shared" si="74"/>
        <v>0.14652599849284087</v>
      </c>
      <c r="N23" s="10">
        <f t="shared" si="75"/>
        <v>0.11657479810280758</v>
      </c>
      <c r="O23" s="10">
        <f t="shared" si="76"/>
        <v>8.0000000000000071E-2</v>
      </c>
      <c r="P23" s="10">
        <f t="shared" si="77"/>
        <v>8.0000000000000071E-2</v>
      </c>
      <c r="R23" s="10"/>
      <c r="S23" s="10">
        <f t="shared" ref="S23:AD23" si="85">S4/R4-1</f>
        <v>-6.1616161616162568E-3</v>
      </c>
      <c r="T23" s="10">
        <f t="shared" si="85"/>
        <v>2.1140359792661823E-2</v>
      </c>
      <c r="U23" s="10">
        <f t="shared" si="85"/>
        <v>1.8297335854815744E-2</v>
      </c>
      <c r="V23" s="10">
        <f t="shared" si="85"/>
        <v>8.1632320599495101E-2</v>
      </c>
      <c r="W23" s="10">
        <f t="shared" si="85"/>
        <v>8.711368154708099E-2</v>
      </c>
      <c r="X23" s="10">
        <f t="shared" si="85"/>
        <v>0.13034081463009151</v>
      </c>
      <c r="Y23" s="10">
        <f t="shared" si="85"/>
        <v>8.0000000000000071E-2</v>
      </c>
      <c r="Z23" s="10">
        <f t="shared" si="85"/>
        <v>5.0000000000000044E-2</v>
      </c>
      <c r="AA23" s="10">
        <f t="shared" si="85"/>
        <v>3.0000000000000027E-2</v>
      </c>
      <c r="AB23" s="10">
        <f t="shared" si="85"/>
        <v>2.0000000000000018E-2</v>
      </c>
      <c r="AC23" s="10">
        <f t="shared" si="85"/>
        <v>2.0000000000000018E-2</v>
      </c>
      <c r="AD23" s="10">
        <f t="shared" si="85"/>
        <v>2.0000000000000018E-2</v>
      </c>
      <c r="AE23" s="10">
        <f t="shared" si="79"/>
        <v>2.0000000000000018E-2</v>
      </c>
      <c r="AF23" s="10">
        <f t="shared" si="80"/>
        <v>2.0000000000000018E-2</v>
      </c>
      <c r="AG23" s="10">
        <f t="shared" si="81"/>
        <v>2.0000000000000018E-2</v>
      </c>
      <c r="AH23" s="10">
        <f t="shared" si="82"/>
        <v>2.0000000000000018E-2</v>
      </c>
      <c r="AI23" s="10">
        <f t="shared" si="83"/>
        <v>2.0000000000000018E-2</v>
      </c>
    </row>
    <row r="24" spans="2:149" x14ac:dyDescent="0.3">
      <c r="B24" t="s">
        <v>39</v>
      </c>
      <c r="E24" s="10">
        <f t="shared" ref="E24:H24" si="86">E5/C5-1</f>
        <v>-1.2411347517730431E-2</v>
      </c>
      <c r="F24" s="10">
        <f t="shared" si="86"/>
        <v>-0.21540880503144655</v>
      </c>
      <c r="G24" s="10">
        <f t="shared" si="86"/>
        <v>-0.22284560143626575</v>
      </c>
      <c r="H24" s="10">
        <f t="shared" si="86"/>
        <v>-0.11202404809619249</v>
      </c>
      <c r="I24" s="10">
        <f t="shared" si="70"/>
        <v>0.25700259890268562</v>
      </c>
      <c r="J24" s="10">
        <f t="shared" si="71"/>
        <v>0.13270142180094813</v>
      </c>
      <c r="K24" s="10">
        <f t="shared" si="72"/>
        <v>0.14036296806799897</v>
      </c>
      <c r="L24" s="10">
        <f t="shared" si="73"/>
        <v>0.11297071129707104</v>
      </c>
      <c r="M24" s="10">
        <f t="shared" si="74"/>
        <v>3.0016116035455287E-2</v>
      </c>
      <c r="N24" s="10">
        <f t="shared" si="75"/>
        <v>-5.3884711779448646E-2</v>
      </c>
      <c r="O24" s="10">
        <f t="shared" si="76"/>
        <v>-2.0000000000000018E-2</v>
      </c>
      <c r="P24" s="10">
        <f t="shared" si="77"/>
        <v>-2.0000000000000129E-2</v>
      </c>
      <c r="R24" s="10"/>
      <c r="S24" s="10">
        <f t="shared" ref="S24:AD24" si="87">S5/R5-1</f>
        <v>-0.13852097130242824</v>
      </c>
      <c r="T24" s="10">
        <f t="shared" si="87"/>
        <v>8.5415332052103388E-3</v>
      </c>
      <c r="U24" s="10">
        <f t="shared" si="87"/>
        <v>-0.16430235020114337</v>
      </c>
      <c r="V24" s="10">
        <f t="shared" si="87"/>
        <v>0.18723080820876614</v>
      </c>
      <c r="W24" s="10">
        <f t="shared" si="87"/>
        <v>0.12569355527102011</v>
      </c>
      <c r="X24" s="10">
        <f t="shared" si="87"/>
        <v>-1.4407582938388619E-2</v>
      </c>
      <c r="Y24" s="10">
        <f t="shared" si="87"/>
        <v>-2.0000000000000018E-2</v>
      </c>
      <c r="Z24" s="10">
        <f t="shared" si="87"/>
        <v>-1.0000000000000009E-2</v>
      </c>
      <c r="AA24" s="10">
        <f t="shared" si="87"/>
        <v>-1.0000000000000009E-2</v>
      </c>
      <c r="AB24" s="10">
        <f t="shared" si="87"/>
        <v>-1.0000000000000009E-2</v>
      </c>
      <c r="AC24" s="10">
        <f t="shared" si="87"/>
        <v>-1.0000000000000009E-2</v>
      </c>
      <c r="AD24" s="10">
        <f t="shared" si="87"/>
        <v>-1.0000000000000009E-2</v>
      </c>
      <c r="AE24" s="10">
        <f t="shared" si="79"/>
        <v>-1.0000000000000009E-2</v>
      </c>
      <c r="AF24" s="10">
        <f t="shared" si="80"/>
        <v>-1.0000000000000009E-2</v>
      </c>
      <c r="AG24" s="10">
        <f t="shared" si="81"/>
        <v>-1.0000000000000009E-2</v>
      </c>
      <c r="AH24" s="10">
        <f t="shared" si="82"/>
        <v>-1.0000000000000009E-2</v>
      </c>
      <c r="AI24" s="10">
        <f t="shared" si="83"/>
        <v>-1.0000000000000009E-2</v>
      </c>
    </row>
    <row r="25" spans="2:149" x14ac:dyDescent="0.3">
      <c r="B25" s="1" t="s">
        <v>34</v>
      </c>
      <c r="E25" s="10">
        <f>E6/C6-1</f>
        <v>-2.134127926875895E-2</v>
      </c>
      <c r="F25" s="10">
        <f t="shared" ref="F25:H25" si="88">F6/D6-1</f>
        <v>-1.65237320715661E-2</v>
      </c>
      <c r="G25" s="10">
        <f t="shared" si="88"/>
        <v>-0.15610277932070193</v>
      </c>
      <c r="H25" s="10">
        <f t="shared" si="88"/>
        <v>-4.8148844202217544E-2</v>
      </c>
      <c r="I25" s="10">
        <f t="shared" si="70"/>
        <v>0.2445576655859194</v>
      </c>
      <c r="J25" s="10">
        <f t="shared" si="71"/>
        <v>0.14117043121149897</v>
      </c>
      <c r="K25" s="10">
        <f t="shared" si="72"/>
        <v>8.4794233443676204E-2</v>
      </c>
      <c r="L25" s="10">
        <f t="shared" si="73"/>
        <v>0.10611093809474381</v>
      </c>
      <c r="M25" s="10">
        <f t="shared" si="74"/>
        <v>0.10758008017045251</v>
      </c>
      <c r="N25" s="10">
        <f t="shared" si="75"/>
        <v>8.0242761727487455E-2</v>
      </c>
      <c r="O25" s="10">
        <f t="shared" si="76"/>
        <v>5.980208672970333E-2</v>
      </c>
      <c r="P25" s="10">
        <f t="shared" si="77"/>
        <v>6.0633642721652059E-2</v>
      </c>
      <c r="R25" s="10"/>
      <c r="S25" s="10">
        <f t="shared" ref="S25:AD28" si="89">S6/R6-1</f>
        <v>-2.999570021125042E-2</v>
      </c>
      <c r="T25" s="10">
        <f t="shared" si="89"/>
        <v>-1.8829560675705737E-2</v>
      </c>
      <c r="U25" s="10">
        <f t="shared" si="89"/>
        <v>-9.9686698946169217E-2</v>
      </c>
      <c r="V25" s="10">
        <f t="shared" si="89"/>
        <v>0.18743522892144582</v>
      </c>
      <c r="W25" s="10">
        <f t="shared" si="89"/>
        <v>9.6113035250020351E-2</v>
      </c>
      <c r="X25" s="10">
        <f t="shared" si="89"/>
        <v>9.2932035905559207E-2</v>
      </c>
      <c r="Y25" s="10">
        <f t="shared" si="89"/>
        <v>6.0242482803046116E-2</v>
      </c>
      <c r="Z25" s="10">
        <f t="shared" si="89"/>
        <v>3.9798435779016206E-2</v>
      </c>
      <c r="AA25" s="10">
        <f t="shared" si="89"/>
        <v>2.4330604604121397E-2</v>
      </c>
      <c r="AB25" s="10">
        <f t="shared" si="89"/>
        <v>1.5115002268375255E-2</v>
      </c>
      <c r="AC25" s="10">
        <f t="shared" si="89"/>
        <v>1.5179704295299912E-2</v>
      </c>
      <c r="AD25" s="10">
        <f t="shared" si="89"/>
        <v>1.5243391677041807E-2</v>
      </c>
      <c r="AE25" s="10">
        <f t="shared" si="79"/>
        <v>1.5306078951407009E-2</v>
      </c>
      <c r="AF25" s="10">
        <f t="shared" si="80"/>
        <v>1.5367780633793959E-2</v>
      </c>
      <c r="AG25" s="10">
        <f t="shared" si="81"/>
        <v>1.5428511206459383E-2</v>
      </c>
      <c r="AH25" s="10">
        <f t="shared" si="82"/>
        <v>1.5488285108309796E-2</v>
      </c>
      <c r="AI25" s="10">
        <f t="shared" si="83"/>
        <v>1.5547116725210364E-2</v>
      </c>
    </row>
    <row r="26" spans="2:149" x14ac:dyDescent="0.3">
      <c r="B26" s="1" t="s">
        <v>35</v>
      </c>
      <c r="C26" s="10"/>
      <c r="R26" s="10">
        <f>R8/R6</f>
        <v>0.37831597838888792</v>
      </c>
      <c r="S26" s="10">
        <f>S8/S6</f>
        <v>0.3680244379559231</v>
      </c>
      <c r="T26" s="10">
        <f t="shared" ref="T26:AD26" si="90">T8/T6</f>
        <v>0.33740264587159563</v>
      </c>
      <c r="U26" s="10">
        <f t="shared" si="90"/>
        <v>0.31762100601075605</v>
      </c>
      <c r="V26" s="10">
        <f t="shared" si="90"/>
        <v>0.34494859946164952</v>
      </c>
      <c r="W26" s="10">
        <f t="shared" si="90"/>
        <v>0.34737203825232787</v>
      </c>
      <c r="X26" s="10">
        <f t="shared" si="90"/>
        <v>0.35221355664450416</v>
      </c>
      <c r="Y26" s="10">
        <f t="shared" si="90"/>
        <v>0.35</v>
      </c>
      <c r="Z26" s="10">
        <f t="shared" si="90"/>
        <v>0.35</v>
      </c>
      <c r="AA26" s="10">
        <f t="shared" si="90"/>
        <v>0.35</v>
      </c>
      <c r="AB26" s="10">
        <f t="shared" si="90"/>
        <v>0.35</v>
      </c>
      <c r="AC26" s="10">
        <f t="shared" si="90"/>
        <v>0.35</v>
      </c>
      <c r="AD26" s="10">
        <f t="shared" si="90"/>
        <v>0.35</v>
      </c>
      <c r="AE26" s="10">
        <f t="shared" ref="AE26:AI26" si="91">AE8/AE6</f>
        <v>0.35</v>
      </c>
      <c r="AF26" s="10">
        <f t="shared" si="91"/>
        <v>0.35</v>
      </c>
      <c r="AG26" s="10">
        <f t="shared" si="91"/>
        <v>0.35</v>
      </c>
      <c r="AH26" s="10">
        <f t="shared" si="91"/>
        <v>0.35</v>
      </c>
      <c r="AI26" s="10">
        <f t="shared" si="91"/>
        <v>0.35</v>
      </c>
    </row>
    <row r="27" spans="2:149" x14ac:dyDescent="0.3">
      <c r="B27" t="s">
        <v>36</v>
      </c>
      <c r="C27" s="10">
        <f>C12/C6</f>
        <v>3.3360848819182991E-2</v>
      </c>
      <c r="D27" s="10">
        <f t="shared" ref="D27:H27" si="92">D12/D6</f>
        <v>2.4471388437084386E-2</v>
      </c>
      <c r="E27" s="10">
        <f t="shared" si="92"/>
        <v>5.1924540722911389E-2</v>
      </c>
      <c r="F27" s="10">
        <f t="shared" si="92"/>
        <v>4.5104303702299951E-4</v>
      </c>
      <c r="G27" s="10">
        <f t="shared" si="92"/>
        <v>-2.291509226981302E-3</v>
      </c>
      <c r="H27" s="10">
        <f t="shared" si="92"/>
        <v>-4.2054967619650583E-3</v>
      </c>
      <c r="I27" s="10">
        <f t="shared" ref="I27:N27" si="93">I12/I6</f>
        <v>5.5236714786594324E-2</v>
      </c>
      <c r="J27" s="10">
        <f t="shared" si="93"/>
        <v>5.0209349804491862E-2</v>
      </c>
      <c r="K27" s="10">
        <f t="shared" si="93"/>
        <v>3.0966740096060093E-2</v>
      </c>
      <c r="L27" s="10">
        <f t="shared" si="93"/>
        <v>5.3745444307143585E-2</v>
      </c>
      <c r="M27" s="10">
        <f t="shared" si="93"/>
        <v>5.1353113791979134E-2</v>
      </c>
      <c r="N27" s="10">
        <f t="shared" si="93"/>
        <v>5.7803970402976752E-2</v>
      </c>
      <c r="O27" s="10"/>
      <c r="P27" s="10"/>
      <c r="R27" s="10">
        <f t="shared" ref="R27" si="94">R12/R6</f>
        <v>1.4628629115178253E-2</v>
      </c>
      <c r="S27" s="10">
        <f t="shared" ref="S27:AD27" si="95">S12/S6</f>
        <v>2.872616191109454E-2</v>
      </c>
      <c r="T27" s="10">
        <f t="shared" si="95"/>
        <v>2.502479890786586E-2</v>
      </c>
      <c r="U27" s="10">
        <f t="shared" si="95"/>
        <v>-3.3490056616741351E-3</v>
      </c>
      <c r="V27" s="10">
        <f t="shared" si="95"/>
        <v>5.2567270856492085E-2</v>
      </c>
      <c r="W27" s="10">
        <f t="shared" si="95"/>
        <v>4.317216061954688E-2</v>
      </c>
      <c r="X27" s="10">
        <f t="shared" si="95"/>
        <v>5.4769518638660579E-2</v>
      </c>
      <c r="Y27" s="10">
        <f t="shared" si="95"/>
        <v>5.5592308451208244E-2</v>
      </c>
      <c r="Z27" s="10">
        <f t="shared" si="95"/>
        <v>5.8445738407468202E-2</v>
      </c>
      <c r="AA27" s="10">
        <f t="shared" si="95"/>
        <v>5.9717355341177003E-2</v>
      </c>
      <c r="AB27" s="10">
        <f t="shared" si="95"/>
        <v>5.8359244141412275E-2</v>
      </c>
      <c r="AC27" s="10">
        <f t="shared" si="95"/>
        <v>5.7013076408813521E-2</v>
      </c>
      <c r="AD27" s="10">
        <f t="shared" si="95"/>
        <v>5.567878406227425E-2</v>
      </c>
      <c r="AE27" s="10">
        <f t="shared" ref="AE27:AI27" si="96">AE12/AE6</f>
        <v>5.7216932647430559E-2</v>
      </c>
      <c r="AF27" s="10">
        <f t="shared" si="96"/>
        <v>5.8764741538763432E-2</v>
      </c>
      <c r="AG27" s="10">
        <f t="shared" si="96"/>
        <v>6.0321693945382893E-2</v>
      </c>
      <c r="AH27" s="10">
        <f t="shared" si="96"/>
        <v>6.1887282792279757E-2</v>
      </c>
      <c r="AI27" s="10">
        <f t="shared" si="96"/>
        <v>6.3461010732665579E-2</v>
      </c>
      <c r="AK27" t="s">
        <v>42</v>
      </c>
      <c r="AL27" s="10">
        <v>-0.01</v>
      </c>
    </row>
    <row r="28" spans="2:149" x14ac:dyDescent="0.3">
      <c r="B28" t="s">
        <v>40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S28" s="10">
        <f t="shared" si="89"/>
        <v>3.3973498336349328E-2</v>
      </c>
      <c r="T28" s="10">
        <f t="shared" si="89"/>
        <v>-8.959521255574987E-2</v>
      </c>
      <c r="U28" s="10">
        <f t="shared" si="89"/>
        <v>-6.3965025424779887E-2</v>
      </c>
      <c r="V28" s="10">
        <f t="shared" si="89"/>
        <v>7.4596707409983809E-2</v>
      </c>
      <c r="W28" s="10">
        <f t="shared" si="89"/>
        <v>0.11254276995160439</v>
      </c>
      <c r="X28" s="10">
        <f t="shared" si="89"/>
        <v>5.9071262329602137E-2</v>
      </c>
      <c r="Y28" s="10">
        <f t="shared" si="89"/>
        <v>5.0000000000000044E-2</v>
      </c>
      <c r="Z28" s="10">
        <f t="shared" si="89"/>
        <v>3.0000000000000027E-2</v>
      </c>
      <c r="AA28" s="10">
        <f t="shared" si="89"/>
        <v>2.0000000000000018E-2</v>
      </c>
      <c r="AB28" s="10">
        <f t="shared" si="89"/>
        <v>2.0000000000000018E-2</v>
      </c>
      <c r="AC28" s="10">
        <f t="shared" si="89"/>
        <v>2.0000000000000018E-2</v>
      </c>
      <c r="AD28" s="10">
        <f t="shared" si="89"/>
        <v>2.0000000000000018E-2</v>
      </c>
      <c r="AE28" s="10">
        <f t="shared" ref="AE28" si="97">AE9/AD9-1</f>
        <v>1.0000000000000009E-2</v>
      </c>
      <c r="AF28" s="10">
        <f t="shared" ref="AF28" si="98">AF9/AE9-1</f>
        <v>1.0000000000000009E-2</v>
      </c>
      <c r="AG28" s="10">
        <f t="shared" ref="AG28" si="99">AG9/AF9-1</f>
        <v>1.0000000000000009E-2</v>
      </c>
      <c r="AH28" s="10">
        <f t="shared" ref="AH28" si="100">AH9/AG9-1</f>
        <v>1.0000000000000009E-2</v>
      </c>
      <c r="AI28" s="10">
        <f t="shared" ref="AI28" si="101">AI9/AH9-1</f>
        <v>1.0000000000000009E-2</v>
      </c>
      <c r="AK28" t="s">
        <v>43</v>
      </c>
      <c r="AL28" s="10">
        <v>7.0000000000000007E-2</v>
      </c>
    </row>
    <row r="29" spans="2:149" x14ac:dyDescent="0.3">
      <c r="B29" t="s">
        <v>25</v>
      </c>
      <c r="C29" s="10">
        <f>C16/C15</f>
        <v>0.29123914759273872</v>
      </c>
      <c r="D29" s="10">
        <f t="shared" ref="D29:H29" si="102">D16/D15</f>
        <v>-4.7058823529413339E-2</v>
      </c>
      <c r="E29" s="10">
        <f t="shared" si="102"/>
        <v>0.22921914357682618</v>
      </c>
      <c r="F29" s="10">
        <f t="shared" si="102"/>
        <v>-3.7117903930130737E-2</v>
      </c>
      <c r="G29" s="10">
        <f t="shared" si="102"/>
        <v>0.18264840182648404</v>
      </c>
      <c r="H29" s="10">
        <f t="shared" si="102"/>
        <v>-6.4039408866994746E-2</v>
      </c>
      <c r="I29" s="10">
        <f t="shared" ref="I29:N29" si="103">I16/I15</f>
        <v>0.14628937533368924</v>
      </c>
      <c r="J29" s="10">
        <f t="shared" si="103"/>
        <v>0.2705479452054767</v>
      </c>
      <c r="K29" s="10">
        <f t="shared" si="103"/>
        <v>0.20047961630695443</v>
      </c>
      <c r="L29" s="10">
        <f t="shared" si="103"/>
        <v>0.25973053892215603</v>
      </c>
      <c r="M29" s="10">
        <f t="shared" si="103"/>
        <v>0.36455773955773957</v>
      </c>
      <c r="N29" s="10">
        <f t="shared" si="103"/>
        <v>0.37071202075526333</v>
      </c>
      <c r="O29" s="10"/>
      <c r="P29" s="10"/>
      <c r="R29" s="10">
        <f t="shared" ref="R29" si="104">R16/R15</f>
        <v>0.56437125748503003</v>
      </c>
      <c r="S29" s="10">
        <f t="shared" ref="S29:AD29" si="105">S16/S15</f>
        <v>0.46199524940616804</v>
      </c>
      <c r="T29" s="10">
        <f t="shared" si="105"/>
        <v>0.59226190476191032</v>
      </c>
      <c r="U29" s="10">
        <f t="shared" si="105"/>
        <v>3.915950334288431E-2</v>
      </c>
      <c r="V29" s="10">
        <f t="shared" si="105"/>
        <v>0.21113096757722635</v>
      </c>
      <c r="W29" s="10">
        <f t="shared" si="105"/>
        <v>0.23376077359680486</v>
      </c>
      <c r="X29" s="10">
        <f t="shared" si="105"/>
        <v>0.36773234200743615</v>
      </c>
      <c r="Y29" s="10">
        <f t="shared" si="105"/>
        <v>0.3</v>
      </c>
      <c r="Z29" s="10">
        <f t="shared" si="105"/>
        <v>0.3</v>
      </c>
      <c r="AA29" s="10">
        <f t="shared" si="105"/>
        <v>0.3</v>
      </c>
      <c r="AB29" s="10">
        <f t="shared" si="105"/>
        <v>0.3</v>
      </c>
      <c r="AC29" s="10">
        <f t="shared" si="105"/>
        <v>0.3</v>
      </c>
      <c r="AD29" s="10">
        <f t="shared" si="105"/>
        <v>0.3</v>
      </c>
      <c r="AE29" s="10">
        <f t="shared" ref="AE29:AI29" si="106">AE16/AE15</f>
        <v>0.3</v>
      </c>
      <c r="AF29" s="10">
        <f t="shared" si="106"/>
        <v>0.3</v>
      </c>
      <c r="AG29" s="10">
        <f t="shared" si="106"/>
        <v>0.3</v>
      </c>
      <c r="AH29" s="10">
        <f t="shared" si="106"/>
        <v>0.3</v>
      </c>
      <c r="AI29" s="10">
        <f t="shared" si="106"/>
        <v>0.3</v>
      </c>
      <c r="AK29" t="s">
        <v>44</v>
      </c>
      <c r="AL29" s="5">
        <f>NPV(AL28,Y18:ES18)</f>
        <v>8990.610274802104</v>
      </c>
    </row>
    <row r="30" spans="2:149" x14ac:dyDescent="0.3">
      <c r="B30" t="s">
        <v>41</v>
      </c>
      <c r="C30" s="10">
        <f>C18/C6</f>
        <v>1.7697155167206911E-2</v>
      </c>
      <c r="D30" s="10">
        <f t="shared" ref="D30:H30" si="107">D18/D6</f>
        <v>-8.5391098624867968E-3</v>
      </c>
      <c r="E30" s="10">
        <f t="shared" si="107"/>
        <v>2.4295912279619001E-2</v>
      </c>
      <c r="F30" s="10">
        <f t="shared" si="107"/>
        <v>-1.7741026122909346E-2</v>
      </c>
      <c r="G30" s="10">
        <f t="shared" si="107"/>
        <v>-1.6430608712610612E-2</v>
      </c>
      <c r="H30" s="10">
        <f t="shared" si="107"/>
        <v>-2.5785815826883711E-2</v>
      </c>
      <c r="I30" s="10">
        <f t="shared" ref="I30:N30" si="108">I18/I6</f>
        <v>3.139874248330167E-2</v>
      </c>
      <c r="J30" s="10">
        <f t="shared" si="108"/>
        <v>2.5312294543064127E-2</v>
      </c>
      <c r="K30" s="10">
        <f t="shared" si="108"/>
        <v>2.9991694052219131E-2</v>
      </c>
      <c r="L30" s="10">
        <f t="shared" si="108"/>
        <v>3.0861397444119382E-2</v>
      </c>
      <c r="M30" s="10">
        <f t="shared" si="108"/>
        <v>3.3909357678513212E-2</v>
      </c>
      <c r="N30" s="10">
        <f t="shared" si="108"/>
        <v>3.2319253992846575E-2</v>
      </c>
      <c r="O30" s="10"/>
      <c r="P30" s="10"/>
      <c r="R30" s="10">
        <f t="shared" ref="R30" si="109">R18/R6</f>
        <v>2.4022732796171314E-3</v>
      </c>
      <c r="S30" s="10">
        <f t="shared" ref="S30:AD30" si="110">S18/S6</f>
        <v>4.0183862854501077E-3</v>
      </c>
      <c r="T30" s="10">
        <f t="shared" si="110"/>
        <v>2.3276598670188635E-3</v>
      </c>
      <c r="U30" s="10">
        <f t="shared" si="110"/>
        <v>-2.1599450195813271E-2</v>
      </c>
      <c r="V30" s="10">
        <f t="shared" si="110"/>
        <v>2.8166943803915635E-2</v>
      </c>
      <c r="W30" s="10">
        <f t="shared" si="110"/>
        <v>3.0457703686941048E-2</v>
      </c>
      <c r="X30" s="10">
        <f t="shared" si="110"/>
        <v>3.3067231079516098E-2</v>
      </c>
      <c r="Y30" s="10">
        <f t="shared" si="110"/>
        <v>3.7364571462297477E-2</v>
      </c>
      <c r="Z30" s="10">
        <f t="shared" si="110"/>
        <v>3.9584402870648308E-2</v>
      </c>
      <c r="AA30" s="10">
        <f t="shared" si="110"/>
        <v>4.0689376774453681E-2</v>
      </c>
      <c r="AB30" s="10">
        <f t="shared" si="110"/>
        <v>3.9949090519446374E-2</v>
      </c>
      <c r="AC30" s="10">
        <f t="shared" si="110"/>
        <v>3.9209408910391985E-2</v>
      </c>
      <c r="AD30" s="10">
        <f t="shared" si="110"/>
        <v>3.847038185467553E-2</v>
      </c>
      <c r="AE30" s="10">
        <f>AJ18/AE6</f>
        <v>4.7283012778029904E-2</v>
      </c>
      <c r="AF30" s="10">
        <f t="shared" ref="AF30:AI30" si="111">AF18/AF6</f>
        <v>4.1011731463227147E-2</v>
      </c>
      <c r="AG30" s="10">
        <f t="shared" si="111"/>
        <v>4.2301677141381014E-2</v>
      </c>
      <c r="AH30" s="10">
        <f t="shared" si="111"/>
        <v>4.360395592293672E-2</v>
      </c>
      <c r="AI30" s="10">
        <f t="shared" si="111"/>
        <v>4.4918187084775588E-2</v>
      </c>
      <c r="AK30" t="s">
        <v>45</v>
      </c>
      <c r="AL30" s="5">
        <f>Main!D8</f>
        <v>-1426.6000000000004</v>
      </c>
    </row>
    <row r="31" spans="2:149" x14ac:dyDescent="0.3">
      <c r="AK31" t="s">
        <v>46</v>
      </c>
      <c r="AL31" s="5">
        <f>AL29+AL30</f>
        <v>7564.0102748021036</v>
      </c>
    </row>
    <row r="32" spans="2:149" x14ac:dyDescent="0.3">
      <c r="AK32" t="s">
        <v>47</v>
      </c>
      <c r="AL32" s="2">
        <f>AL31/AD19</f>
        <v>3.833372326577186</v>
      </c>
    </row>
    <row r="33" spans="37:38" x14ac:dyDescent="0.3">
      <c r="AK33" t="s">
        <v>48</v>
      </c>
      <c r="AL33" s="2">
        <f>Main!D3</f>
        <v>3.1880000000000002</v>
      </c>
    </row>
    <row r="34" spans="37:38" x14ac:dyDescent="0.3">
      <c r="AK34" s="1" t="s">
        <v>49</v>
      </c>
      <c r="AL34" s="11">
        <f>AL32/AL33-1</f>
        <v>0.20243799453487643</v>
      </c>
    </row>
    <row r="35" spans="37:38" x14ac:dyDescent="0.3">
      <c r="AK35" t="s">
        <v>50</v>
      </c>
      <c r="AL35" s="6" t="s">
        <v>59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2021-01-29T18:15:15Z</dcterms:created>
  <dcterms:modified xsi:type="dcterms:W3CDTF">2024-08-11T12:43:50Z</dcterms:modified>
</cp:coreProperties>
</file>