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2387ACD-B69F-46F2-91BA-06119E41506F}" xr6:coauthVersionLast="47" xr6:coauthVersionMax="47" xr10:uidLastSave="{00000000-0000-0000-0000-000000000000}"/>
  <bookViews>
    <workbookView xWindow="-108" yWindow="-108" windowWidth="23256" windowHeight="12576" activeTab="1" xr2:uid="{6DDD031F-268C-499B-AA28-026B79B6D7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2" l="1"/>
  <c r="Y24" i="2"/>
  <c r="X24" i="2"/>
  <c r="W24" i="2"/>
  <c r="V24" i="2"/>
  <c r="U24" i="2"/>
  <c r="T24" i="2"/>
  <c r="S24" i="2"/>
  <c r="R24" i="2"/>
  <c r="Q24" i="2"/>
  <c r="P24" i="2"/>
  <c r="O24" i="2"/>
  <c r="D4" i="1"/>
  <c r="AC36" i="2"/>
  <c r="AC33" i="2"/>
  <c r="AC31" i="2"/>
  <c r="AC32" i="2" s="1"/>
  <c r="AC34" i="2" s="1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AA23" i="2"/>
  <c r="O11" i="2"/>
  <c r="Q12" i="2"/>
  <c r="P12" i="2"/>
  <c r="O12" i="2"/>
  <c r="Z8" i="2"/>
  <c r="Y8" i="2"/>
  <c r="X8" i="2"/>
  <c r="W8" i="2"/>
  <c r="V8" i="2"/>
  <c r="U8" i="2"/>
  <c r="T8" i="2"/>
  <c r="S8" i="2"/>
  <c r="R8" i="2"/>
  <c r="Q8" i="2"/>
  <c r="P8" i="2"/>
  <c r="O8" i="2"/>
  <c r="N35" i="2"/>
  <c r="N34" i="2"/>
  <c r="N33" i="2"/>
  <c r="N32" i="2"/>
  <c r="N31" i="2"/>
  <c r="O30" i="2"/>
  <c r="N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N28" i="2"/>
  <c r="M31" i="2"/>
  <c r="M30" i="2"/>
  <c r="M35" i="2"/>
  <c r="M34" i="2"/>
  <c r="G34" i="2"/>
  <c r="F34" i="2"/>
  <c r="E34" i="2"/>
  <c r="D34" i="2"/>
  <c r="C34" i="2"/>
  <c r="H34" i="2"/>
  <c r="G35" i="2"/>
  <c r="F35" i="2"/>
  <c r="E35" i="2"/>
  <c r="D35" i="2"/>
  <c r="C35" i="2"/>
  <c r="H35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P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Z30" i="2" s="1"/>
  <c r="O3" i="2"/>
  <c r="O5" i="2" s="1"/>
  <c r="G33" i="2"/>
  <c r="F33" i="2"/>
  <c r="E33" i="2"/>
  <c r="C33" i="2"/>
  <c r="G32" i="2"/>
  <c r="F32" i="2"/>
  <c r="E32" i="2"/>
  <c r="C32" i="2"/>
  <c r="G31" i="2"/>
  <c r="G30" i="2"/>
  <c r="G29" i="2"/>
  <c r="F29" i="2"/>
  <c r="E29" i="2"/>
  <c r="C29" i="2"/>
  <c r="G28" i="2"/>
  <c r="F28" i="2"/>
  <c r="E28" i="2"/>
  <c r="C28" i="2"/>
  <c r="G27" i="2"/>
  <c r="H31" i="2"/>
  <c r="H30" i="2"/>
  <c r="H27" i="2"/>
  <c r="D17" i="2"/>
  <c r="D5" i="2"/>
  <c r="D9" i="2" s="1"/>
  <c r="D28" i="2" s="1"/>
  <c r="H17" i="2"/>
  <c r="H5" i="2"/>
  <c r="H29" i="2" s="1"/>
  <c r="D10" i="1"/>
  <c r="D9" i="1"/>
  <c r="D8" i="1"/>
  <c r="AC35" i="2" l="1"/>
  <c r="AC37" i="2" s="1"/>
  <c r="Y30" i="2"/>
  <c r="Q30" i="2"/>
  <c r="R30" i="2"/>
  <c r="T30" i="2"/>
  <c r="U30" i="2"/>
  <c r="P30" i="2"/>
  <c r="V30" i="2"/>
  <c r="X30" i="2"/>
  <c r="S30" i="2"/>
  <c r="W30" i="2"/>
  <c r="P31" i="2"/>
  <c r="O31" i="2"/>
  <c r="O10" i="2"/>
  <c r="O17" i="2" s="1"/>
  <c r="O9" i="2"/>
  <c r="O28" i="2" s="1"/>
  <c r="D29" i="2"/>
  <c r="P3" i="2"/>
  <c r="D18" i="2"/>
  <c r="H9" i="2"/>
  <c r="D7" i="1"/>
  <c r="D6" i="1"/>
  <c r="D5" i="1"/>
  <c r="D11" i="1" s="1"/>
  <c r="L17" i="2"/>
  <c r="M17" i="2"/>
  <c r="N17" i="2"/>
  <c r="L8" i="2"/>
  <c r="L5" i="2"/>
  <c r="M8" i="2"/>
  <c r="N8" i="2"/>
  <c r="M5" i="2"/>
  <c r="M29" i="2" s="1"/>
  <c r="N5" i="2"/>
  <c r="F3" i="1"/>
  <c r="R12" i="2" l="1"/>
  <c r="Q31" i="2"/>
  <c r="O18" i="2"/>
  <c r="P5" i="2"/>
  <c r="Q3" i="2"/>
  <c r="H18" i="2"/>
  <c r="H28" i="2"/>
  <c r="D20" i="2"/>
  <c r="D32" i="2"/>
  <c r="N9" i="2"/>
  <c r="N18" i="2" s="1"/>
  <c r="N20" i="2" s="1"/>
  <c r="N23" i="2" s="1"/>
  <c r="N25" i="2" s="1"/>
  <c r="L9" i="2"/>
  <c r="L18" i="2" s="1"/>
  <c r="L20" i="2" s="1"/>
  <c r="L23" i="2" s="1"/>
  <c r="L25" i="2" s="1"/>
  <c r="M9" i="2"/>
  <c r="S12" i="2" l="1"/>
  <c r="R31" i="2"/>
  <c r="O20" i="2"/>
  <c r="O32" i="2"/>
  <c r="H20" i="2"/>
  <c r="H32" i="2"/>
  <c r="P10" i="2"/>
  <c r="P17" i="2" s="1"/>
  <c r="P9" i="2"/>
  <c r="D23" i="2"/>
  <c r="D33" i="2"/>
  <c r="M18" i="2"/>
  <c r="M28" i="2"/>
  <c r="Q5" i="2"/>
  <c r="Q10" i="2" s="1"/>
  <c r="Q17" i="2" s="1"/>
  <c r="R3" i="2"/>
  <c r="T12" i="2" l="1"/>
  <c r="S31" i="2"/>
  <c r="P18" i="2"/>
  <c r="P28" i="2"/>
  <c r="O21" i="2"/>
  <c r="O33" i="2" s="1"/>
  <c r="O34" i="2"/>
  <c r="O23" i="2"/>
  <c r="M20" i="2"/>
  <c r="M32" i="2"/>
  <c r="H23" i="2"/>
  <c r="H33" i="2"/>
  <c r="D25" i="2"/>
  <c r="Q9" i="2"/>
  <c r="S3" i="2"/>
  <c r="R5" i="2"/>
  <c r="R10" i="2" s="1"/>
  <c r="R17" i="2" s="1"/>
  <c r="U12" i="2" l="1"/>
  <c r="T31" i="2"/>
  <c r="Q18" i="2"/>
  <c r="Q28" i="2"/>
  <c r="P20" i="2"/>
  <c r="P32" i="2"/>
  <c r="O25" i="2"/>
  <c r="O35" i="2"/>
  <c r="M33" i="2"/>
  <c r="M23" i="2"/>
  <c r="T3" i="2"/>
  <c r="S5" i="2"/>
  <c r="S10" i="2" s="1"/>
  <c r="S17" i="2" s="1"/>
  <c r="S9" i="2"/>
  <c r="S28" i="2" s="1"/>
  <c r="H25" i="2"/>
  <c r="R9" i="2"/>
  <c r="V12" i="2" l="1"/>
  <c r="U31" i="2"/>
  <c r="Q20" i="2"/>
  <c r="Q32" i="2"/>
  <c r="R18" i="2"/>
  <c r="R28" i="2"/>
  <c r="P34" i="2"/>
  <c r="P21" i="2"/>
  <c r="S18" i="2"/>
  <c r="T5" i="2"/>
  <c r="U3" i="2"/>
  <c r="M25" i="2"/>
  <c r="W12" i="2" l="1"/>
  <c r="V31" i="2"/>
  <c r="P23" i="2"/>
  <c r="P33" i="2"/>
  <c r="S20" i="2"/>
  <c r="S32" i="2"/>
  <c r="R20" i="2"/>
  <c r="R32" i="2"/>
  <c r="Q21" i="2"/>
  <c r="Q34" i="2"/>
  <c r="T9" i="2"/>
  <c r="T28" i="2" s="1"/>
  <c r="T10" i="2"/>
  <c r="T17" i="2" s="1"/>
  <c r="U5" i="2"/>
  <c r="U10" i="2" s="1"/>
  <c r="U17" i="2" s="1"/>
  <c r="V3" i="2"/>
  <c r="U9" i="2"/>
  <c r="U28" i="2" s="1"/>
  <c r="X12" i="2" l="1"/>
  <c r="W31" i="2"/>
  <c r="P25" i="2"/>
  <c r="P35" i="2"/>
  <c r="Q23" i="2"/>
  <c r="Q33" i="2"/>
  <c r="R21" i="2"/>
  <c r="R34" i="2"/>
  <c r="S21" i="2"/>
  <c r="S34" i="2"/>
  <c r="V5" i="2"/>
  <c r="W3" i="2"/>
  <c r="U18" i="2"/>
  <c r="T18" i="2"/>
  <c r="Y12" i="2" l="1"/>
  <c r="X31" i="2"/>
  <c r="U20" i="2"/>
  <c r="U32" i="2"/>
  <c r="S23" i="2"/>
  <c r="S33" i="2"/>
  <c r="T20" i="2"/>
  <c r="T32" i="2"/>
  <c r="R23" i="2"/>
  <c r="R33" i="2"/>
  <c r="Q25" i="2"/>
  <c r="Q35" i="2"/>
  <c r="V10" i="2"/>
  <c r="V17" i="2" s="1"/>
  <c r="V9" i="2"/>
  <c r="V28" i="2" s="1"/>
  <c r="X3" i="2"/>
  <c r="W5" i="2"/>
  <c r="Z12" i="2" l="1"/>
  <c r="Z31" i="2" s="1"/>
  <c r="Y31" i="2"/>
  <c r="R25" i="2"/>
  <c r="R35" i="2"/>
  <c r="T21" i="2"/>
  <c r="T34" i="2"/>
  <c r="V18" i="2"/>
  <c r="S25" i="2"/>
  <c r="S35" i="2"/>
  <c r="U21" i="2"/>
  <c r="U34" i="2"/>
  <c r="Y3" i="2"/>
  <c r="X5" i="2"/>
  <c r="W10" i="2"/>
  <c r="W17" i="2" s="1"/>
  <c r="W9" i="2"/>
  <c r="W28" i="2" s="1"/>
  <c r="T23" i="2" l="1"/>
  <c r="T33" i="2"/>
  <c r="U23" i="2"/>
  <c r="U33" i="2"/>
  <c r="V20" i="2"/>
  <c r="V32" i="2"/>
  <c r="Z3" i="2"/>
  <c r="Y5" i="2"/>
  <c r="Y10" i="2" s="1"/>
  <c r="Y17" i="2" s="1"/>
  <c r="W18" i="2"/>
  <c r="X10" i="2"/>
  <c r="X17" i="2" s="1"/>
  <c r="X9" i="2"/>
  <c r="X28" i="2" s="1"/>
  <c r="V34" i="2" l="1"/>
  <c r="V21" i="2"/>
  <c r="V33" i="2" s="1"/>
  <c r="U25" i="2"/>
  <c r="U35" i="2"/>
  <c r="W20" i="2"/>
  <c r="W34" i="2" s="1"/>
  <c r="W32" i="2"/>
  <c r="T25" i="2"/>
  <c r="T35" i="2"/>
  <c r="X18" i="2"/>
  <c r="Z5" i="2"/>
  <c r="Z10" i="2" s="1"/>
  <c r="Z17" i="2" s="1"/>
  <c r="Y9" i="2"/>
  <c r="Y18" i="2" l="1"/>
  <c r="Y28" i="2"/>
  <c r="W21" i="2"/>
  <c r="W33" i="2" s="1"/>
  <c r="V23" i="2"/>
  <c r="X20" i="2"/>
  <c r="X34" i="2" s="1"/>
  <c r="X32" i="2"/>
  <c r="Z9" i="2"/>
  <c r="Z28" i="2" s="1"/>
  <c r="W23" i="2" l="1"/>
  <c r="W25" i="2" s="1"/>
  <c r="V25" i="2"/>
  <c r="V35" i="2"/>
  <c r="Z18" i="2"/>
  <c r="W35" i="2"/>
  <c r="X21" i="2"/>
  <c r="Y20" i="2"/>
  <c r="Y32" i="2"/>
  <c r="Y21" i="2" l="1"/>
  <c r="Y34" i="2"/>
  <c r="X33" i="2"/>
  <c r="X23" i="2"/>
  <c r="Z20" i="2"/>
  <c r="Z32" i="2"/>
  <c r="Z21" i="2" l="1"/>
  <c r="Z34" i="2"/>
  <c r="X25" i="2"/>
  <c r="X35" i="2"/>
  <c r="Y23" i="2"/>
  <c r="Y33" i="2"/>
  <c r="Y25" i="2" l="1"/>
  <c r="Y35" i="2"/>
  <c r="Z23" i="2"/>
  <c r="Z33" i="2"/>
  <c r="Z25" i="2" l="1"/>
  <c r="Z35" i="2"/>
</calcChain>
</file>

<file path=xl/sharedStrings.xml><?xml version="1.0" encoding="utf-8"?>
<sst xmlns="http://schemas.openxmlformats.org/spreadsheetml/2006/main" count="69" uniqueCount="64">
  <si>
    <t>MLGO</t>
  </si>
  <si>
    <t>Price</t>
  </si>
  <si>
    <t>Shares</t>
  </si>
  <si>
    <t>MC</t>
  </si>
  <si>
    <t>Net Cash</t>
  </si>
  <si>
    <t>EV</t>
  </si>
  <si>
    <t>Last checked</t>
  </si>
  <si>
    <t>Today</t>
  </si>
  <si>
    <t>Earnings</t>
  </si>
  <si>
    <t>Gross profit</t>
  </si>
  <si>
    <t>S&amp;M</t>
  </si>
  <si>
    <t>G&amp;A</t>
  </si>
  <si>
    <t>R&amp;D</t>
  </si>
  <si>
    <t>SBC</t>
  </si>
  <si>
    <t>Goodwill impairment</t>
  </si>
  <si>
    <t>Asset impairment</t>
  </si>
  <si>
    <t>Fair value</t>
  </si>
  <si>
    <t>Total operating expenses</t>
  </si>
  <si>
    <t>Operating profit</t>
  </si>
  <si>
    <t>Other income</t>
  </si>
  <si>
    <t>Pretax profit</t>
  </si>
  <si>
    <t>Taxes</t>
  </si>
  <si>
    <t>Net profit</t>
  </si>
  <si>
    <t>EPS</t>
  </si>
  <si>
    <t>Algorithm revenue</t>
  </si>
  <si>
    <t>Product revenue</t>
  </si>
  <si>
    <t>Algorithm cost</t>
  </si>
  <si>
    <t>Product cost</t>
  </si>
  <si>
    <t>Total cost of sales</t>
  </si>
  <si>
    <t>Total revenue</t>
  </si>
  <si>
    <t>Q224?</t>
  </si>
  <si>
    <t>USD/RMB</t>
  </si>
  <si>
    <t>Cash ¥</t>
  </si>
  <si>
    <t>Debt ¥</t>
  </si>
  <si>
    <t>Cash USD</t>
  </si>
  <si>
    <t>Debt USD</t>
  </si>
  <si>
    <t>Q123</t>
  </si>
  <si>
    <t>Q323</t>
  </si>
  <si>
    <t>Q423</t>
  </si>
  <si>
    <t>Q124</t>
  </si>
  <si>
    <t>Q324</t>
  </si>
  <si>
    <t>Q424</t>
  </si>
  <si>
    <t>?</t>
  </si>
  <si>
    <t>MI</t>
  </si>
  <si>
    <t>Algorithm revenue y/y</t>
  </si>
  <si>
    <t>Gross Margin</t>
  </si>
  <si>
    <t>S&amp;M Margin</t>
  </si>
  <si>
    <t>G&amp;A y/y</t>
  </si>
  <si>
    <t>R&amp;D y/y</t>
  </si>
  <si>
    <t>Operating Margin</t>
  </si>
  <si>
    <t>Net Margin</t>
  </si>
  <si>
    <t>Maturity</t>
  </si>
  <si>
    <t>Discount rate</t>
  </si>
  <si>
    <t>NPV</t>
  </si>
  <si>
    <t>NPV USD</t>
  </si>
  <si>
    <t>Net cash</t>
  </si>
  <si>
    <t>Value</t>
  </si>
  <si>
    <t>Per share</t>
  </si>
  <si>
    <t>Current price</t>
  </si>
  <si>
    <t>Variance</t>
  </si>
  <si>
    <t>Consensus</t>
  </si>
  <si>
    <t>H124</t>
  </si>
  <si>
    <t>H123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</si>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</sst>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¥-804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15240</xdr:rowOff>
    </xdr:from>
    <xdr:to>
      <xdr:col>14</xdr:col>
      <xdr:colOff>30480</xdr:colOff>
      <xdr:row>37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316437-4805-CBFF-CCAB-392C6AA13369}"/>
            </a:ext>
          </a:extLst>
        </xdr:cNvPr>
        <xdr:cNvCxnSpPr/>
      </xdr:nvCxnSpPr>
      <xdr:spPr>
        <a:xfrm>
          <a:off x="9441180" y="15240"/>
          <a:ext cx="0" cy="6835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7252-77FF-42CC-AA1D-7FD148E14A41}">
  <dimension ref="B2:G13"/>
  <sheetViews>
    <sheetView workbookViewId="0">
      <selection activeCell="D4" sqref="D4"/>
    </sheetView>
  </sheetViews>
  <sheetFormatPr defaultRowHeight="14.4" x14ac:dyDescent="0.3"/>
  <cols>
    <col min="5" max="7" width="14.44140625" style="3" customWidth="1"/>
  </cols>
  <sheetData>
    <row r="2" spans="2:7" x14ac:dyDescent="0.3">
      <c r="E2" s="3" t="s">
        <v>6</v>
      </c>
      <c r="F2" s="3" t="s">
        <v>7</v>
      </c>
      <c r="G2" s="3" t="s">
        <v>8</v>
      </c>
    </row>
    <row r="3" spans="2:7" x14ac:dyDescent="0.3">
      <c r="B3" s="1" t="s">
        <v>0</v>
      </c>
      <c r="C3" t="s">
        <v>1</v>
      </c>
      <c r="D3" s="2">
        <v>18.45</v>
      </c>
      <c r="E3" s="4">
        <v>45751</v>
      </c>
      <c r="F3" s="4">
        <f ca="1">TODAY()</f>
        <v>45751</v>
      </c>
      <c r="G3" s="4">
        <v>45741</v>
      </c>
    </row>
    <row r="4" spans="2:7" x14ac:dyDescent="0.3">
      <c r="C4" t="s">
        <v>2</v>
      </c>
      <c r="D4" s="5">
        <f>199.5/20</f>
        <v>9.9749999999999996</v>
      </c>
      <c r="E4" s="3" t="s">
        <v>30</v>
      </c>
    </row>
    <row r="5" spans="2:7" x14ac:dyDescent="0.3">
      <c r="C5" t="s">
        <v>3</v>
      </c>
      <c r="D5" s="5">
        <f>D3*D4</f>
        <v>184.03874999999999</v>
      </c>
    </row>
    <row r="6" spans="2:7" x14ac:dyDescent="0.3">
      <c r="C6" t="s">
        <v>32</v>
      </c>
      <c r="D6" s="5">
        <f>433.4+41.7</f>
        <v>475.09999999999997</v>
      </c>
      <c r="E6" s="3" t="s">
        <v>30</v>
      </c>
    </row>
    <row r="7" spans="2:7" x14ac:dyDescent="0.3">
      <c r="C7" t="s">
        <v>33</v>
      </c>
      <c r="D7" s="5">
        <f>17.9+145.7</f>
        <v>163.6</v>
      </c>
      <c r="E7" s="3" t="s">
        <v>30</v>
      </c>
    </row>
    <row r="8" spans="2:7" x14ac:dyDescent="0.3">
      <c r="C8" t="s">
        <v>34</v>
      </c>
      <c r="D8" s="5">
        <f>D6/D13</f>
        <v>65.44077134986226</v>
      </c>
    </row>
    <row r="9" spans="2:7" x14ac:dyDescent="0.3">
      <c r="C9" t="s">
        <v>35</v>
      </c>
      <c r="D9" s="5">
        <f>D7/D13</f>
        <v>22.534435261707991</v>
      </c>
    </row>
    <row r="10" spans="2:7" x14ac:dyDescent="0.3">
      <c r="C10" t="s">
        <v>4</v>
      </c>
      <c r="D10" s="5">
        <f>D8-D9</f>
        <v>42.906336088154269</v>
      </c>
    </row>
    <row r="11" spans="2:7" x14ac:dyDescent="0.3">
      <c r="C11" t="s">
        <v>5</v>
      </c>
      <c r="D11" s="5">
        <f>D5-D10</f>
        <v>141.13241391184573</v>
      </c>
    </row>
    <row r="13" spans="2:7" x14ac:dyDescent="0.3">
      <c r="C13" t="s">
        <v>31</v>
      </c>
      <c r="D13" s="7">
        <v>7.26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FAE-8E84-460F-B420-1A817A9BEA7E}">
  <dimension ref="B1:EI38"/>
  <sheetViews>
    <sheetView tabSelected="1" workbookViewId="0">
      <pane xSplit="2" ySplit="2" topLeftCell="R13" activePane="bottomRight" state="frozen"/>
      <selection pane="topRight" activeCell="C1" sqref="C1"/>
      <selection pane="bottomLeft" activeCell="A3" sqref="A3"/>
      <selection pane="bottomRight" activeCell="AC38" sqref="AC38"/>
    </sheetView>
  </sheetViews>
  <sheetFormatPr defaultRowHeight="14.4" x14ac:dyDescent="0.3"/>
  <cols>
    <col min="2" max="2" width="21.6640625" bestFit="1" customWidth="1"/>
    <col min="28" max="28" width="11.88671875" bestFit="1" customWidth="1"/>
    <col min="29" max="29" width="16.44140625" bestFit="1" customWidth="1"/>
  </cols>
  <sheetData>
    <row r="1" spans="2:26" x14ac:dyDescent="0.3">
      <c r="H1" t="s">
        <v>42</v>
      </c>
    </row>
    <row r="2" spans="2:26" x14ac:dyDescent="0.3">
      <c r="C2" s="8" t="s">
        <v>36</v>
      </c>
      <c r="D2" s="8" t="s">
        <v>62</v>
      </c>
      <c r="E2" s="8" t="s">
        <v>37</v>
      </c>
      <c r="F2" s="8" t="s">
        <v>38</v>
      </c>
      <c r="G2" s="8" t="s">
        <v>39</v>
      </c>
      <c r="H2" s="8" t="s">
        <v>61</v>
      </c>
      <c r="I2" s="8" t="s">
        <v>40</v>
      </c>
      <c r="J2" s="8" t="s">
        <v>41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</row>
    <row r="3" spans="2:26" x14ac:dyDescent="0.3">
      <c r="B3" t="s">
        <v>24</v>
      </c>
      <c r="D3" s="5">
        <v>253.7</v>
      </c>
      <c r="H3" s="5">
        <v>290.39999999999998</v>
      </c>
      <c r="L3" s="5">
        <v>273</v>
      </c>
      <c r="M3" s="5">
        <v>447.8</v>
      </c>
      <c r="N3" s="5">
        <v>569.9</v>
      </c>
      <c r="O3" s="5">
        <f>N3*1.25</f>
        <v>712.375</v>
      </c>
      <c r="P3" s="5">
        <f>O3*1.15</f>
        <v>819.23124999999993</v>
      </c>
      <c r="Q3" s="5">
        <f>P3*1.1</f>
        <v>901.15437499999996</v>
      </c>
      <c r="R3" s="5">
        <f>Q3*1.08</f>
        <v>973.24672499999997</v>
      </c>
      <c r="S3" s="5">
        <f>R3*1.05</f>
        <v>1021.90906125</v>
      </c>
      <c r="T3" s="5">
        <f>S3*1.04</f>
        <v>1062.7854237000001</v>
      </c>
      <c r="U3" s="5">
        <f>T3*1.03</f>
        <v>1094.6689864110001</v>
      </c>
      <c r="V3" s="5">
        <f>U3*1.02</f>
        <v>1116.5623661392201</v>
      </c>
      <c r="W3" s="5">
        <f t="shared" ref="W3:Z3" si="0">V3*1.02</f>
        <v>1138.8936134620046</v>
      </c>
      <c r="X3" s="5">
        <f t="shared" si="0"/>
        <v>1161.6714857312447</v>
      </c>
      <c r="Y3" s="5">
        <f t="shared" si="0"/>
        <v>1184.9049154458696</v>
      </c>
      <c r="Z3" s="5">
        <f t="shared" si="0"/>
        <v>1208.6030137547871</v>
      </c>
    </row>
    <row r="4" spans="2:26" x14ac:dyDescent="0.3">
      <c r="B4" t="s">
        <v>25</v>
      </c>
      <c r="D4" s="5">
        <v>9.9</v>
      </c>
      <c r="H4" s="5">
        <v>0</v>
      </c>
      <c r="L4" s="5">
        <v>256.2</v>
      </c>
      <c r="M4" s="5">
        <v>138.19999999999999</v>
      </c>
      <c r="N4" s="5">
        <v>10.1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2:26" s="1" customFormat="1" x14ac:dyDescent="0.3">
      <c r="B5" s="1" t="s">
        <v>29</v>
      </c>
      <c r="D5" s="6">
        <f>SUM(D3:D4)</f>
        <v>263.59999999999997</v>
      </c>
      <c r="H5" s="6">
        <f>SUM(H3:H4)</f>
        <v>290.39999999999998</v>
      </c>
      <c r="L5" s="6">
        <f>SUM(L3:L4)</f>
        <v>529.20000000000005</v>
      </c>
      <c r="M5" s="6">
        <f>SUM(M3:M4)</f>
        <v>586</v>
      </c>
      <c r="N5" s="6">
        <f>SUM(N3:N4)</f>
        <v>580</v>
      </c>
      <c r="O5" s="6">
        <f>SUM(O3:O4)</f>
        <v>712.375</v>
      </c>
      <c r="P5" s="6">
        <f t="shared" ref="P5:Z5" si="1">SUM(P3:P4)</f>
        <v>819.23124999999993</v>
      </c>
      <c r="Q5" s="6">
        <f t="shared" si="1"/>
        <v>901.15437499999996</v>
      </c>
      <c r="R5" s="6">
        <f t="shared" si="1"/>
        <v>973.24672499999997</v>
      </c>
      <c r="S5" s="6">
        <f t="shared" si="1"/>
        <v>1021.90906125</v>
      </c>
      <c r="T5" s="6">
        <f t="shared" si="1"/>
        <v>1062.7854237000001</v>
      </c>
      <c r="U5" s="6">
        <f t="shared" si="1"/>
        <v>1094.6689864110001</v>
      </c>
      <c r="V5" s="6">
        <f t="shared" si="1"/>
        <v>1116.5623661392201</v>
      </c>
      <c r="W5" s="6">
        <f t="shared" si="1"/>
        <v>1138.8936134620046</v>
      </c>
      <c r="X5" s="6">
        <f t="shared" si="1"/>
        <v>1161.6714857312447</v>
      </c>
      <c r="Y5" s="6">
        <f t="shared" si="1"/>
        <v>1184.9049154458696</v>
      </c>
      <c r="Z5" s="6">
        <f t="shared" si="1"/>
        <v>1208.6030137547871</v>
      </c>
    </row>
    <row r="6" spans="2:26" x14ac:dyDescent="0.3">
      <c r="B6" t="s">
        <v>26</v>
      </c>
      <c r="D6" s="5"/>
      <c r="H6" s="5"/>
      <c r="L6" s="5">
        <v>96.9</v>
      </c>
      <c r="M6" s="5">
        <v>324.2</v>
      </c>
      <c r="N6" s="5">
        <v>396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2:26" x14ac:dyDescent="0.3">
      <c r="B7" t="s">
        <v>27</v>
      </c>
      <c r="D7" s="5"/>
      <c r="H7" s="5"/>
      <c r="L7" s="5">
        <v>218.7</v>
      </c>
      <c r="M7" s="5">
        <v>134.30000000000001</v>
      </c>
      <c r="N7" s="5">
        <v>10.1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2:26" x14ac:dyDescent="0.3">
      <c r="B8" t="s">
        <v>28</v>
      </c>
      <c r="D8" s="5">
        <v>80.5</v>
      </c>
      <c r="H8" s="5">
        <v>203</v>
      </c>
      <c r="L8" s="5">
        <f>SUM(L6:L7)</f>
        <v>315.60000000000002</v>
      </c>
      <c r="M8" s="5">
        <f>SUM(M6:M7)</f>
        <v>458.5</v>
      </c>
      <c r="N8" s="5">
        <f>SUM(N6:N7)</f>
        <v>406.1</v>
      </c>
      <c r="O8" s="5">
        <f>O3*0.7</f>
        <v>498.66249999999997</v>
      </c>
      <c r="P8" s="5">
        <f t="shared" ref="P8:Z8" si="2">P3*0.7</f>
        <v>573.46187499999996</v>
      </c>
      <c r="Q8" s="5">
        <f t="shared" si="2"/>
        <v>630.80806249999989</v>
      </c>
      <c r="R8" s="5">
        <f t="shared" si="2"/>
        <v>681.27270749999991</v>
      </c>
      <c r="S8" s="5">
        <f t="shared" si="2"/>
        <v>715.33634287500001</v>
      </c>
      <c r="T8" s="5">
        <f t="shared" si="2"/>
        <v>743.94979659000001</v>
      </c>
      <c r="U8" s="5">
        <f t="shared" si="2"/>
        <v>766.26829048770003</v>
      </c>
      <c r="V8" s="5">
        <f t="shared" si="2"/>
        <v>781.593656297454</v>
      </c>
      <c r="W8" s="5">
        <f t="shared" si="2"/>
        <v>797.22552942340315</v>
      </c>
      <c r="X8" s="5">
        <f t="shared" si="2"/>
        <v>813.17004001187127</v>
      </c>
      <c r="Y8" s="5">
        <f t="shared" si="2"/>
        <v>829.43344081210864</v>
      </c>
      <c r="Z8" s="5">
        <f t="shared" si="2"/>
        <v>846.0221096283509</v>
      </c>
    </row>
    <row r="9" spans="2:26" s="1" customFormat="1" x14ac:dyDescent="0.3">
      <c r="B9" s="1" t="s">
        <v>9</v>
      </c>
      <c r="D9" s="6">
        <f t="shared" ref="D9" si="3">D5-D8</f>
        <v>183.09999999999997</v>
      </c>
      <c r="H9" s="6">
        <f t="shared" ref="H9" si="4">H5-H8</f>
        <v>87.399999999999977</v>
      </c>
      <c r="L9" s="6">
        <f t="shared" ref="L9:M9" si="5">L5-L8</f>
        <v>213.60000000000002</v>
      </c>
      <c r="M9" s="6">
        <f t="shared" si="5"/>
        <v>127.5</v>
      </c>
      <c r="N9" s="6">
        <f>N5-N8</f>
        <v>173.89999999999998</v>
      </c>
      <c r="O9" s="6">
        <f>O5-O8</f>
        <v>213.71250000000003</v>
      </c>
      <c r="P9" s="6">
        <f t="shared" ref="P9:Z9" si="6">P5-P8</f>
        <v>245.76937499999997</v>
      </c>
      <c r="Q9" s="6">
        <f t="shared" si="6"/>
        <v>270.34631250000007</v>
      </c>
      <c r="R9" s="6">
        <f t="shared" si="6"/>
        <v>291.97401750000006</v>
      </c>
      <c r="S9" s="6">
        <f t="shared" si="6"/>
        <v>306.57271837500002</v>
      </c>
      <c r="T9" s="6">
        <f t="shared" si="6"/>
        <v>318.83562711000013</v>
      </c>
      <c r="U9" s="6">
        <f t="shared" si="6"/>
        <v>328.40069592330008</v>
      </c>
      <c r="V9" s="6">
        <f t="shared" si="6"/>
        <v>334.9687098417661</v>
      </c>
      <c r="W9" s="6">
        <f t="shared" si="6"/>
        <v>341.66808403860148</v>
      </c>
      <c r="X9" s="6">
        <f t="shared" si="6"/>
        <v>348.50144571937346</v>
      </c>
      <c r="Y9" s="6">
        <f t="shared" si="6"/>
        <v>355.47147463376098</v>
      </c>
      <c r="Z9" s="6">
        <f t="shared" si="6"/>
        <v>362.58090412643617</v>
      </c>
    </row>
    <row r="10" spans="2:26" x14ac:dyDescent="0.3">
      <c r="B10" t="s">
        <v>10</v>
      </c>
      <c r="D10" s="5">
        <v>1.2</v>
      </c>
      <c r="H10" s="5">
        <v>1.1000000000000001</v>
      </c>
      <c r="L10" s="5">
        <v>5.4</v>
      </c>
      <c r="M10" s="5">
        <v>3.8</v>
      </c>
      <c r="N10" s="5">
        <v>2.8</v>
      </c>
      <c r="O10" s="5">
        <f>O5*0.01</f>
        <v>7.1237500000000002</v>
      </c>
      <c r="P10" s="5">
        <f t="shared" ref="P10:Z10" si="7">P5*0.01</f>
        <v>8.1923124999999999</v>
      </c>
      <c r="Q10" s="5">
        <f t="shared" si="7"/>
        <v>9.0115437499999995</v>
      </c>
      <c r="R10" s="5">
        <f t="shared" si="7"/>
        <v>9.7324672499999991</v>
      </c>
      <c r="S10" s="5">
        <f t="shared" si="7"/>
        <v>10.219090612500001</v>
      </c>
      <c r="T10" s="5">
        <f t="shared" si="7"/>
        <v>10.627854237000001</v>
      </c>
      <c r="U10" s="5">
        <f t="shared" si="7"/>
        <v>10.946689864110001</v>
      </c>
      <c r="V10" s="5">
        <f t="shared" si="7"/>
        <v>11.165623661392202</v>
      </c>
      <c r="W10" s="5">
        <f t="shared" si="7"/>
        <v>11.388936134620046</v>
      </c>
      <c r="X10" s="5">
        <f t="shared" si="7"/>
        <v>11.616714857312447</v>
      </c>
      <c r="Y10" s="5">
        <f t="shared" si="7"/>
        <v>11.849049154458696</v>
      </c>
      <c r="Z10" s="5">
        <f t="shared" si="7"/>
        <v>12.086030137547871</v>
      </c>
    </row>
    <row r="11" spans="2:26" x14ac:dyDescent="0.3">
      <c r="B11" t="s">
        <v>11</v>
      </c>
      <c r="D11" s="5">
        <v>7.6</v>
      </c>
      <c r="H11" s="5">
        <v>7.8</v>
      </c>
      <c r="L11" s="5">
        <v>34</v>
      </c>
      <c r="M11" s="5">
        <v>34.5</v>
      </c>
      <c r="N11" s="5">
        <v>24.9</v>
      </c>
      <c r="O11" s="5">
        <f>N11*1.3</f>
        <v>32.369999999999997</v>
      </c>
      <c r="P11" s="5">
        <f>O11*1.2</f>
        <v>38.843999999999994</v>
      </c>
      <c r="Q11" s="5">
        <f>P11*1.05</f>
        <v>40.786199999999994</v>
      </c>
      <c r="R11" s="5">
        <f>Q11*1.04</f>
        <v>42.417647999999993</v>
      </c>
      <c r="S11" s="5">
        <f>R11*1.03</f>
        <v>43.690177439999992</v>
      </c>
      <c r="T11" s="5">
        <f t="shared" ref="T11:Z11" si="8">S11*1.03</f>
        <v>45.000882763199996</v>
      </c>
      <c r="U11" s="5">
        <f t="shared" si="8"/>
        <v>46.350909246095995</v>
      </c>
      <c r="V11" s="5">
        <f t="shared" si="8"/>
        <v>47.741436523478875</v>
      </c>
      <c r="W11" s="5">
        <f t="shared" si="8"/>
        <v>49.17367961918324</v>
      </c>
      <c r="X11" s="5">
        <f t="shared" si="8"/>
        <v>50.648890007758737</v>
      </c>
      <c r="Y11" s="5">
        <f t="shared" si="8"/>
        <v>52.168356707991499</v>
      </c>
      <c r="Z11" s="5">
        <f t="shared" si="8"/>
        <v>53.733407409231248</v>
      </c>
    </row>
    <row r="12" spans="2:26" x14ac:dyDescent="0.3">
      <c r="B12" t="s">
        <v>12</v>
      </c>
      <c r="D12" s="5">
        <v>92.2</v>
      </c>
      <c r="H12" s="5">
        <v>75.8</v>
      </c>
      <c r="L12" s="5">
        <v>107</v>
      </c>
      <c r="M12" s="5">
        <v>93.7</v>
      </c>
      <c r="N12" s="5">
        <v>161.19999999999999</v>
      </c>
      <c r="O12" s="5">
        <f>N12*1.15</f>
        <v>185.37999999999997</v>
      </c>
      <c r="P12" s="5">
        <f>O12*1.1</f>
        <v>203.91799999999998</v>
      </c>
      <c r="Q12" s="5">
        <f>P12*1.08</f>
        <v>220.23143999999999</v>
      </c>
      <c r="R12" s="5">
        <f>Q12*1.05</f>
        <v>231.24301199999999</v>
      </c>
      <c r="S12" s="5">
        <f>R12*1.04</f>
        <v>240.49273248</v>
      </c>
      <c r="T12" s="5">
        <f>S12*1.03</f>
        <v>247.70751445440001</v>
      </c>
      <c r="U12" s="5">
        <f t="shared" ref="U12:Z12" si="9">T12*1.03</f>
        <v>255.13873988803201</v>
      </c>
      <c r="V12" s="5">
        <f t="shared" si="9"/>
        <v>262.79290208467296</v>
      </c>
      <c r="W12" s="5">
        <f t="shared" si="9"/>
        <v>270.67668914721315</v>
      </c>
      <c r="X12" s="5">
        <f t="shared" si="9"/>
        <v>278.79698982162955</v>
      </c>
      <c r="Y12" s="5">
        <f t="shared" si="9"/>
        <v>287.16089951627845</v>
      </c>
      <c r="Z12" s="5">
        <f t="shared" si="9"/>
        <v>295.77572650176683</v>
      </c>
    </row>
    <row r="13" spans="2:26" x14ac:dyDescent="0.3">
      <c r="B13" t="s">
        <v>13</v>
      </c>
      <c r="D13" s="5">
        <v>0</v>
      </c>
      <c r="H13" s="5">
        <v>0</v>
      </c>
      <c r="L13" s="5">
        <v>0</v>
      </c>
      <c r="M13" s="5">
        <v>0</v>
      </c>
      <c r="N13" s="5">
        <v>117.4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</row>
    <row r="14" spans="2:26" x14ac:dyDescent="0.3">
      <c r="B14" t="s">
        <v>14</v>
      </c>
      <c r="D14" s="5">
        <v>0</v>
      </c>
      <c r="H14" s="5">
        <v>0</v>
      </c>
      <c r="L14" s="5">
        <v>18.5</v>
      </c>
      <c r="M14" s="5">
        <v>35.5</v>
      </c>
      <c r="N14" s="5">
        <v>106.3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2:26" x14ac:dyDescent="0.3">
      <c r="B15" t="s">
        <v>15</v>
      </c>
      <c r="D15" s="5">
        <v>0</v>
      </c>
      <c r="H15" s="5">
        <v>0</v>
      </c>
      <c r="L15" s="5">
        <v>0</v>
      </c>
      <c r="M15" s="5">
        <v>13.7</v>
      </c>
      <c r="N15" s="5">
        <v>6.6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2:26" x14ac:dyDescent="0.3">
      <c r="B16" t="s">
        <v>16</v>
      </c>
      <c r="D16" s="5">
        <v>0</v>
      </c>
      <c r="H16" s="5">
        <v>0</v>
      </c>
      <c r="L16" s="5">
        <v>-3.2</v>
      </c>
      <c r="M16" s="5">
        <v>-0.8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2:139" x14ac:dyDescent="0.3">
      <c r="B17" t="s">
        <v>17</v>
      </c>
      <c r="D17" s="5">
        <f>SUM(D10:D16)</f>
        <v>101</v>
      </c>
      <c r="H17" s="5">
        <f>SUM(H10:H16)</f>
        <v>84.7</v>
      </c>
      <c r="L17" s="5">
        <f>SUM(L10:L16)</f>
        <v>161.70000000000002</v>
      </c>
      <c r="M17" s="5">
        <f>SUM(M10:M16)</f>
        <v>180.39999999999998</v>
      </c>
      <c r="N17" s="5">
        <f>SUM(N10:N16)</f>
        <v>419.2</v>
      </c>
      <c r="O17" s="5">
        <f>SUM(O10:O16)</f>
        <v>224.87374999999997</v>
      </c>
      <c r="P17" s="5">
        <f t="shared" ref="P17:Z17" si="10">SUM(P10:P16)</f>
        <v>250.95431249999996</v>
      </c>
      <c r="Q17" s="5">
        <f t="shared" si="10"/>
        <v>270.02918375000002</v>
      </c>
      <c r="R17" s="5">
        <f t="shared" si="10"/>
        <v>283.39312724999996</v>
      </c>
      <c r="S17" s="5">
        <f t="shared" si="10"/>
        <v>294.40200053249998</v>
      </c>
      <c r="T17" s="5">
        <f t="shared" si="10"/>
        <v>303.33625145460002</v>
      </c>
      <c r="U17" s="5">
        <f t="shared" si="10"/>
        <v>312.436338998238</v>
      </c>
      <c r="V17" s="5">
        <f t="shared" si="10"/>
        <v>321.69996226954402</v>
      </c>
      <c r="W17" s="5">
        <f t="shared" si="10"/>
        <v>331.23930490101645</v>
      </c>
      <c r="X17" s="5">
        <f t="shared" si="10"/>
        <v>341.06259468670072</v>
      </c>
      <c r="Y17" s="5">
        <f t="shared" si="10"/>
        <v>351.17830537872862</v>
      </c>
      <c r="Z17" s="5">
        <f t="shared" si="10"/>
        <v>361.59516404854594</v>
      </c>
    </row>
    <row r="18" spans="2:139" s="1" customFormat="1" x14ac:dyDescent="0.3">
      <c r="B18" s="1" t="s">
        <v>18</v>
      </c>
      <c r="D18" s="6">
        <f>D9-D17</f>
        <v>82.099999999999966</v>
      </c>
      <c r="H18" s="6">
        <f>H9-H17</f>
        <v>2.6999999999999744</v>
      </c>
      <c r="L18" s="6">
        <f>L9-L17</f>
        <v>51.900000000000006</v>
      </c>
      <c r="M18" s="6">
        <f>M9-M17</f>
        <v>-52.899999999999977</v>
      </c>
      <c r="N18" s="6">
        <f>N9-N17</f>
        <v>-245.3</v>
      </c>
      <c r="O18" s="6">
        <f>O9-O17</f>
        <v>-11.161249999999939</v>
      </c>
      <c r="P18" s="6">
        <f t="shared" ref="P18:Z18" si="11">P9-P17</f>
        <v>-5.1849374999999895</v>
      </c>
      <c r="Q18" s="6">
        <f t="shared" si="11"/>
        <v>0.3171287500000517</v>
      </c>
      <c r="R18" s="6">
        <f t="shared" si="11"/>
        <v>8.5808902500000954</v>
      </c>
      <c r="S18" s="6">
        <f t="shared" si="11"/>
        <v>12.170717842500039</v>
      </c>
      <c r="T18" s="6">
        <f t="shared" si="11"/>
        <v>15.499375655400115</v>
      </c>
      <c r="U18" s="6">
        <f t="shared" si="11"/>
        <v>15.964356925062077</v>
      </c>
      <c r="V18" s="6">
        <f t="shared" si="11"/>
        <v>13.268747572222082</v>
      </c>
      <c r="W18" s="6">
        <f t="shared" si="11"/>
        <v>10.428779137585025</v>
      </c>
      <c r="X18" s="6">
        <f t="shared" si="11"/>
        <v>7.4388510326727442</v>
      </c>
      <c r="Y18" s="6">
        <f t="shared" si="11"/>
        <v>4.2931692550323532</v>
      </c>
      <c r="Z18" s="6">
        <f t="shared" si="11"/>
        <v>0.98574007789022744</v>
      </c>
    </row>
    <row r="19" spans="2:139" x14ac:dyDescent="0.3">
      <c r="B19" t="s">
        <v>19</v>
      </c>
      <c r="D19" s="5">
        <v>21.4</v>
      </c>
      <c r="H19" s="5">
        <v>-20.399999999999999</v>
      </c>
      <c r="L19" s="5">
        <v>-3.4</v>
      </c>
      <c r="M19" s="5">
        <v>-2.5</v>
      </c>
      <c r="N19" s="5">
        <v>23.5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2:139" s="1" customFormat="1" x14ac:dyDescent="0.3">
      <c r="B20" s="1" t="s">
        <v>20</v>
      </c>
      <c r="D20" s="6">
        <f>D18-D19</f>
        <v>60.699999999999967</v>
      </c>
      <c r="H20" s="6">
        <f>H18-H19</f>
        <v>23.099999999999973</v>
      </c>
      <c r="L20" s="6">
        <f>L18-L19</f>
        <v>55.300000000000004</v>
      </c>
      <c r="M20" s="6">
        <f>M18-M19</f>
        <v>-50.399999999999977</v>
      </c>
      <c r="N20" s="6">
        <f>N18-N19</f>
        <v>-268.8</v>
      </c>
      <c r="O20" s="6">
        <f>O18-O19</f>
        <v>-11.161249999999939</v>
      </c>
      <c r="P20" s="6">
        <f t="shared" ref="P20:Z20" si="12">P18-P19</f>
        <v>-5.1849374999999895</v>
      </c>
      <c r="Q20" s="6">
        <f t="shared" si="12"/>
        <v>0.3171287500000517</v>
      </c>
      <c r="R20" s="6">
        <f t="shared" si="12"/>
        <v>8.5808902500000954</v>
      </c>
      <c r="S20" s="6">
        <f t="shared" si="12"/>
        <v>12.170717842500039</v>
      </c>
      <c r="T20" s="6">
        <f t="shared" si="12"/>
        <v>15.499375655400115</v>
      </c>
      <c r="U20" s="6">
        <f t="shared" si="12"/>
        <v>15.964356925062077</v>
      </c>
      <c r="V20" s="6">
        <f t="shared" si="12"/>
        <v>13.268747572222082</v>
      </c>
      <c r="W20" s="6">
        <f t="shared" si="12"/>
        <v>10.428779137585025</v>
      </c>
      <c r="X20" s="6">
        <f t="shared" si="12"/>
        <v>7.4388510326727442</v>
      </c>
      <c r="Y20" s="6">
        <f t="shared" si="12"/>
        <v>4.2931692550323532</v>
      </c>
      <c r="Z20" s="6">
        <f t="shared" si="12"/>
        <v>0.98574007789022744</v>
      </c>
    </row>
    <row r="21" spans="2:139" x14ac:dyDescent="0.3">
      <c r="B21" t="s">
        <v>21</v>
      </c>
      <c r="D21" s="5">
        <v>0.1</v>
      </c>
      <c r="H21" s="5">
        <v>1</v>
      </c>
      <c r="L21" s="5">
        <v>0.5</v>
      </c>
      <c r="M21" s="5">
        <v>-3.8</v>
      </c>
      <c r="N21" s="5">
        <v>-2.5</v>
      </c>
      <c r="O21" s="5">
        <f>O20*0.2</f>
        <v>-2.2322499999999876</v>
      </c>
      <c r="P21" s="5">
        <f t="shared" ref="P21:Z21" si="13">P20*0.2</f>
        <v>-1.036987499999998</v>
      </c>
      <c r="Q21" s="5">
        <f t="shared" si="13"/>
        <v>6.3425750000010342E-2</v>
      </c>
      <c r="R21" s="5">
        <f t="shared" si="13"/>
        <v>1.7161780500000192</v>
      </c>
      <c r="S21" s="5">
        <f t="shared" si="13"/>
        <v>2.4341435685000081</v>
      </c>
      <c r="T21" s="5">
        <f t="shared" si="13"/>
        <v>3.0998751310800232</v>
      </c>
      <c r="U21" s="5">
        <f t="shared" si="13"/>
        <v>3.1928713850124155</v>
      </c>
      <c r="V21" s="5">
        <f t="shared" si="13"/>
        <v>2.6537495144444168</v>
      </c>
      <c r="W21" s="5">
        <f t="shared" si="13"/>
        <v>2.0857558275170049</v>
      </c>
      <c r="X21" s="5">
        <f t="shared" si="13"/>
        <v>1.4877702065345488</v>
      </c>
      <c r="Y21" s="5">
        <f t="shared" si="13"/>
        <v>0.85863385100647072</v>
      </c>
      <c r="Z21" s="5">
        <f t="shared" si="13"/>
        <v>0.19714801557804551</v>
      </c>
    </row>
    <row r="22" spans="2:139" x14ac:dyDescent="0.3">
      <c r="B22" t="s">
        <v>43</v>
      </c>
      <c r="D22" s="5">
        <v>-4.9000000000000004</v>
      </c>
      <c r="H22" s="5">
        <v>5.9</v>
      </c>
      <c r="L22" s="5"/>
      <c r="M22" s="5"/>
      <c r="N22" s="5"/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2:139" s="1" customFormat="1" x14ac:dyDescent="0.3">
      <c r="B23" s="1" t="s">
        <v>22</v>
      </c>
      <c r="D23" s="6">
        <f>D20-D21-D22</f>
        <v>65.499999999999972</v>
      </c>
      <c r="H23" s="6">
        <f>H20-H21-H22</f>
        <v>16.199999999999974</v>
      </c>
      <c r="L23" s="6">
        <f t="shared" ref="L23:O23" si="14">L20-L21-L22</f>
        <v>54.800000000000004</v>
      </c>
      <c r="M23" s="6">
        <f t="shared" si="14"/>
        <v>-46.59999999999998</v>
      </c>
      <c r="N23" s="6">
        <f t="shared" si="14"/>
        <v>-266.3</v>
      </c>
      <c r="O23" s="6">
        <f t="shared" si="14"/>
        <v>-8.9289999999999505</v>
      </c>
      <c r="P23" s="6">
        <f t="shared" ref="P23" si="15">P20-P21-P22</f>
        <v>-4.1479499999999918</v>
      </c>
      <c r="Q23" s="6">
        <f t="shared" ref="Q23" si="16">Q20-Q21-Q22</f>
        <v>0.25370300000004137</v>
      </c>
      <c r="R23" s="6">
        <f t="shared" ref="R23" si="17">R20-R21-R22</f>
        <v>6.864712200000076</v>
      </c>
      <c r="S23" s="6">
        <f t="shared" ref="S23" si="18">S20-S21-S22</f>
        <v>9.7365742740000307</v>
      </c>
      <c r="T23" s="6">
        <f t="shared" ref="T23" si="19">T20-T21-T22</f>
        <v>12.399500524320093</v>
      </c>
      <c r="U23" s="6">
        <f t="shared" ref="U23" si="20">U20-U21-U22</f>
        <v>12.771485540049662</v>
      </c>
      <c r="V23" s="6">
        <f t="shared" ref="V23" si="21">V20-V21-V22</f>
        <v>10.614998057777665</v>
      </c>
      <c r="W23" s="6">
        <f t="shared" ref="W23" si="22">W20-W21-W22</f>
        <v>8.3430233100680198</v>
      </c>
      <c r="X23" s="6">
        <f t="shared" ref="X23" si="23">X20-X21-X22</f>
        <v>5.9510808261381953</v>
      </c>
      <c r="Y23" s="6">
        <f t="shared" ref="Y23" si="24">Y20-Y21-Y22</f>
        <v>3.4345354040258824</v>
      </c>
      <c r="Z23" s="6">
        <f t="shared" ref="Z23" si="25">Z20-Z21-Z22</f>
        <v>0.78859206231218193</v>
      </c>
      <c r="AA23" s="1">
        <f>Z23*(1+$AC$29)</f>
        <v>0.78070614168906005</v>
      </c>
      <c r="AB23" s="1">
        <f t="shared" ref="AB23:CM23" si="26">AA23*(1+$AC$29)</f>
        <v>0.77289908027216947</v>
      </c>
      <c r="AC23" s="1">
        <f t="shared" si="26"/>
        <v>0.76517008946944776</v>
      </c>
      <c r="AD23" s="1">
        <f t="shared" si="26"/>
        <v>0.75751838857475329</v>
      </c>
      <c r="AE23" s="1">
        <f t="shared" si="26"/>
        <v>0.74994320468900577</v>
      </c>
      <c r="AF23" s="1">
        <f t="shared" si="26"/>
        <v>0.7424437726421157</v>
      </c>
      <c r="AG23" s="1">
        <f t="shared" si="26"/>
        <v>0.73501933491569449</v>
      </c>
      <c r="AH23" s="1">
        <f t="shared" si="26"/>
        <v>0.7276691415665375</v>
      </c>
      <c r="AI23" s="1">
        <f t="shared" si="26"/>
        <v>0.72039245015087217</v>
      </c>
      <c r="AJ23" s="1">
        <f t="shared" si="26"/>
        <v>0.71318852564936341</v>
      </c>
      <c r="AK23" s="1">
        <f t="shared" si="26"/>
        <v>0.70605664039286975</v>
      </c>
      <c r="AL23" s="1">
        <f t="shared" si="26"/>
        <v>0.69899607398894104</v>
      </c>
      <c r="AM23" s="1">
        <f t="shared" si="26"/>
        <v>0.69200611324905159</v>
      </c>
      <c r="AN23" s="1">
        <f t="shared" si="26"/>
        <v>0.68508605211656104</v>
      </c>
      <c r="AO23" s="1">
        <f t="shared" si="26"/>
        <v>0.67823519159539547</v>
      </c>
      <c r="AP23" s="1">
        <f t="shared" si="26"/>
        <v>0.67145283967944147</v>
      </c>
      <c r="AQ23" s="1">
        <f t="shared" si="26"/>
        <v>0.66473831128264704</v>
      </c>
      <c r="AR23" s="1">
        <f t="shared" si="26"/>
        <v>0.65809092816982062</v>
      </c>
      <c r="AS23" s="1">
        <f t="shared" si="26"/>
        <v>0.65151001888812243</v>
      </c>
      <c r="AT23" s="1">
        <f t="shared" si="26"/>
        <v>0.64499491869924119</v>
      </c>
      <c r="AU23" s="1">
        <f t="shared" si="26"/>
        <v>0.63854496951224882</v>
      </c>
      <c r="AV23" s="1">
        <f t="shared" si="26"/>
        <v>0.63215951981712637</v>
      </c>
      <c r="AW23" s="1">
        <f t="shared" si="26"/>
        <v>0.62583792461895515</v>
      </c>
      <c r="AX23" s="1">
        <f t="shared" si="26"/>
        <v>0.61957954537276561</v>
      </c>
      <c r="AY23" s="1">
        <f t="shared" si="26"/>
        <v>0.61338374991903799</v>
      </c>
      <c r="AZ23" s="1">
        <f t="shared" si="26"/>
        <v>0.6072499124198476</v>
      </c>
      <c r="BA23" s="1">
        <f t="shared" si="26"/>
        <v>0.60117741329564911</v>
      </c>
      <c r="BB23" s="1">
        <f t="shared" si="26"/>
        <v>0.59516563916269261</v>
      </c>
      <c r="BC23" s="1">
        <f t="shared" si="26"/>
        <v>0.58921398277106563</v>
      </c>
      <c r="BD23" s="1">
        <f t="shared" si="26"/>
        <v>0.58332184294335498</v>
      </c>
      <c r="BE23" s="1">
        <f t="shared" si="26"/>
        <v>0.57748862451392147</v>
      </c>
      <c r="BF23" s="1">
        <f t="shared" si="26"/>
        <v>0.57171373826878225</v>
      </c>
      <c r="BG23" s="1">
        <f t="shared" si="26"/>
        <v>0.56599660088609438</v>
      </c>
      <c r="BH23" s="1">
        <f t="shared" si="26"/>
        <v>0.5603366348772334</v>
      </c>
      <c r="BI23" s="1">
        <f t="shared" si="26"/>
        <v>0.55473326852846105</v>
      </c>
      <c r="BJ23" s="1">
        <f t="shared" si="26"/>
        <v>0.54918593584317643</v>
      </c>
      <c r="BK23" s="1">
        <f t="shared" si="26"/>
        <v>0.54369407648474466</v>
      </c>
      <c r="BL23" s="1">
        <f t="shared" si="26"/>
        <v>0.5382571357198972</v>
      </c>
      <c r="BM23" s="1">
        <f t="shared" si="26"/>
        <v>0.5328745643626982</v>
      </c>
      <c r="BN23" s="1">
        <f t="shared" si="26"/>
        <v>0.52754581871907125</v>
      </c>
      <c r="BO23" s="1">
        <f t="shared" si="26"/>
        <v>0.52227036053188058</v>
      </c>
      <c r="BP23" s="1">
        <f t="shared" si="26"/>
        <v>0.51704765692656174</v>
      </c>
      <c r="BQ23" s="1">
        <f t="shared" si="26"/>
        <v>0.51187718035729612</v>
      </c>
      <c r="BR23" s="1">
        <f t="shared" si="26"/>
        <v>0.50675840855372312</v>
      </c>
      <c r="BS23" s="1">
        <f t="shared" si="26"/>
        <v>0.50169082446818591</v>
      </c>
      <c r="BT23" s="1">
        <f t="shared" si="26"/>
        <v>0.49667391622350404</v>
      </c>
      <c r="BU23" s="1">
        <f t="shared" si="26"/>
        <v>0.49170717706126899</v>
      </c>
      <c r="BV23" s="1">
        <f t="shared" si="26"/>
        <v>0.48679010529065631</v>
      </c>
      <c r="BW23" s="1">
        <f t="shared" si="26"/>
        <v>0.48192220423774973</v>
      </c>
      <c r="BX23" s="1">
        <f t="shared" si="26"/>
        <v>0.47710298219537223</v>
      </c>
      <c r="BY23" s="1">
        <f t="shared" si="26"/>
        <v>0.47233195237341852</v>
      </c>
      <c r="BZ23" s="1">
        <f t="shared" si="26"/>
        <v>0.46760863284968435</v>
      </c>
      <c r="CA23" s="1">
        <f t="shared" si="26"/>
        <v>0.46293254652118748</v>
      </c>
      <c r="CB23" s="1">
        <f t="shared" si="26"/>
        <v>0.4583032210559756</v>
      </c>
      <c r="CC23" s="1">
        <f t="shared" si="26"/>
        <v>0.45372018884541582</v>
      </c>
      <c r="CD23" s="1">
        <f t="shared" si="26"/>
        <v>0.44918298695696163</v>
      </c>
      <c r="CE23" s="1">
        <f t="shared" si="26"/>
        <v>0.44469115708739199</v>
      </c>
      <c r="CF23" s="1">
        <f t="shared" si="26"/>
        <v>0.44024424551651808</v>
      </c>
      <c r="CG23" s="1">
        <f t="shared" si="26"/>
        <v>0.43584180306135289</v>
      </c>
      <c r="CH23" s="1">
        <f t="shared" si="26"/>
        <v>0.43148338503073935</v>
      </c>
      <c r="CI23" s="1">
        <f t="shared" si="26"/>
        <v>0.42716855118043195</v>
      </c>
      <c r="CJ23" s="1">
        <f t="shared" si="26"/>
        <v>0.42289686566862761</v>
      </c>
      <c r="CK23" s="1">
        <f t="shared" si="26"/>
        <v>0.41866789701194135</v>
      </c>
      <c r="CL23" s="1">
        <f t="shared" si="26"/>
        <v>0.41448121804182192</v>
      </c>
      <c r="CM23" s="1">
        <f t="shared" si="26"/>
        <v>0.41033640586140369</v>
      </c>
      <c r="CN23" s="1">
        <f t="shared" ref="CN23:EI23" si="27">CM23*(1+$AC$29)</f>
        <v>0.40623304180278963</v>
      </c>
      <c r="CO23" s="1">
        <f t="shared" si="27"/>
        <v>0.40217071138476174</v>
      </c>
      <c r="CP23" s="1">
        <f t="shared" si="27"/>
        <v>0.3981490042709141</v>
      </c>
      <c r="CQ23" s="1">
        <f t="shared" si="27"/>
        <v>0.39416751422820495</v>
      </c>
      <c r="CR23" s="1">
        <f t="shared" si="27"/>
        <v>0.3902258390859229</v>
      </c>
      <c r="CS23" s="1">
        <f t="shared" si="27"/>
        <v>0.38632358069506367</v>
      </c>
      <c r="CT23" s="1">
        <f t="shared" si="27"/>
        <v>0.38246034488811304</v>
      </c>
      <c r="CU23" s="1">
        <f t="shared" si="27"/>
        <v>0.3786357414392319</v>
      </c>
      <c r="CV23" s="1">
        <f t="shared" si="27"/>
        <v>0.37484938402483958</v>
      </c>
      <c r="CW23" s="1">
        <f t="shared" si="27"/>
        <v>0.37110089018459119</v>
      </c>
      <c r="CX23" s="1">
        <f t="shared" si="27"/>
        <v>0.3673898812827453</v>
      </c>
      <c r="CY23" s="1">
        <f t="shared" si="27"/>
        <v>0.36371598246991782</v>
      </c>
      <c r="CZ23" s="1">
        <f t="shared" si="27"/>
        <v>0.36007882264521862</v>
      </c>
      <c r="DA23" s="1">
        <f t="shared" si="27"/>
        <v>0.35647803441876641</v>
      </c>
      <c r="DB23" s="1">
        <f t="shared" si="27"/>
        <v>0.35291325407457874</v>
      </c>
      <c r="DC23" s="1">
        <f t="shared" si="27"/>
        <v>0.34938412153383297</v>
      </c>
      <c r="DD23" s="1">
        <f t="shared" si="27"/>
        <v>0.34589028031849461</v>
      </c>
      <c r="DE23" s="1">
        <f t="shared" si="27"/>
        <v>0.34243137751530967</v>
      </c>
      <c r="DF23" s="1">
        <f t="shared" si="27"/>
        <v>0.33900706374015654</v>
      </c>
      <c r="DG23" s="1">
        <f t="shared" si="27"/>
        <v>0.335616993102755</v>
      </c>
      <c r="DH23" s="1">
        <f t="shared" si="27"/>
        <v>0.33226082317172745</v>
      </c>
      <c r="DI23" s="1">
        <f t="shared" si="27"/>
        <v>0.32893821494001019</v>
      </c>
      <c r="DJ23" s="1">
        <f t="shared" si="27"/>
        <v>0.32564883279061008</v>
      </c>
      <c r="DK23" s="1">
        <f t="shared" si="27"/>
        <v>0.32239234446270398</v>
      </c>
      <c r="DL23" s="1">
        <f t="shared" si="27"/>
        <v>0.31916842101807696</v>
      </c>
      <c r="DM23" s="1">
        <f t="shared" si="27"/>
        <v>0.31597673680789617</v>
      </c>
      <c r="DN23" s="1">
        <f t="shared" si="27"/>
        <v>0.31281696943981718</v>
      </c>
      <c r="DO23" s="1">
        <f t="shared" si="27"/>
        <v>0.30968879974541902</v>
      </c>
      <c r="DP23" s="1">
        <f t="shared" si="27"/>
        <v>0.30659191174796485</v>
      </c>
      <c r="DQ23" s="1">
        <f t="shared" si="27"/>
        <v>0.30352599263048519</v>
      </c>
      <c r="DR23" s="1">
        <f t="shared" si="27"/>
        <v>0.30049073270418031</v>
      </c>
      <c r="DS23" s="1">
        <f t="shared" si="27"/>
        <v>0.29748582537713852</v>
      </c>
      <c r="DT23" s="1">
        <f t="shared" si="27"/>
        <v>0.29451096712336716</v>
      </c>
      <c r="DU23" s="1">
        <f t="shared" si="27"/>
        <v>0.29156585745213348</v>
      </c>
      <c r="DV23" s="1">
        <f t="shared" si="27"/>
        <v>0.28865019887761212</v>
      </c>
      <c r="DW23" s="1">
        <f t="shared" si="27"/>
        <v>0.28576369688883602</v>
      </c>
      <c r="DX23" s="1">
        <f t="shared" si="27"/>
        <v>0.28290605991994766</v>
      </c>
      <c r="DY23" s="1">
        <f t="shared" si="27"/>
        <v>0.2800769993207482</v>
      </c>
      <c r="DZ23" s="1">
        <f t="shared" si="27"/>
        <v>0.2772762293275407</v>
      </c>
      <c r="EA23" s="1">
        <f t="shared" si="27"/>
        <v>0.27450346703426531</v>
      </c>
      <c r="EB23" s="1">
        <f t="shared" si="27"/>
        <v>0.27175843236392266</v>
      </c>
      <c r="EC23" s="1">
        <f t="shared" si="27"/>
        <v>0.26904084804028344</v>
      </c>
      <c r="ED23" s="1">
        <f t="shared" si="27"/>
        <v>0.26635043955988058</v>
      </c>
      <c r="EE23" s="1">
        <f t="shared" si="27"/>
        <v>0.26368693516428177</v>
      </c>
      <c r="EF23" s="1">
        <f t="shared" si="27"/>
        <v>0.26105006581263895</v>
      </c>
      <c r="EG23" s="1">
        <f t="shared" si="27"/>
        <v>0.25843956515451255</v>
      </c>
      <c r="EH23" s="1">
        <f t="shared" si="27"/>
        <v>0.25585516950296744</v>
      </c>
      <c r="EI23" s="1">
        <f t="shared" si="27"/>
        <v>0.25329661780793777</v>
      </c>
    </row>
    <row r="24" spans="2:139" x14ac:dyDescent="0.3">
      <c r="B24" t="s">
        <v>2</v>
      </c>
      <c r="D24" s="5">
        <v>199.5</v>
      </c>
      <c r="H24" s="5">
        <v>199.5</v>
      </c>
      <c r="L24" s="5">
        <v>199.5</v>
      </c>
      <c r="M24" s="5">
        <v>199.5</v>
      </c>
      <c r="N24" s="5">
        <v>199.5</v>
      </c>
      <c r="O24" s="5">
        <f t="shared" ref="O24:Z24" si="28">199.5/20</f>
        <v>9.9749999999999996</v>
      </c>
      <c r="P24" s="5">
        <f t="shared" si="28"/>
        <v>9.9749999999999996</v>
      </c>
      <c r="Q24" s="5">
        <f t="shared" si="28"/>
        <v>9.9749999999999996</v>
      </c>
      <c r="R24" s="5">
        <f t="shared" si="28"/>
        <v>9.9749999999999996</v>
      </c>
      <c r="S24" s="5">
        <f t="shared" si="28"/>
        <v>9.9749999999999996</v>
      </c>
      <c r="T24" s="5">
        <f t="shared" si="28"/>
        <v>9.9749999999999996</v>
      </c>
      <c r="U24" s="5">
        <f t="shared" si="28"/>
        <v>9.9749999999999996</v>
      </c>
      <c r="V24" s="5">
        <f t="shared" si="28"/>
        <v>9.9749999999999996</v>
      </c>
      <c r="W24" s="5">
        <f t="shared" si="28"/>
        <v>9.9749999999999996</v>
      </c>
      <c r="X24" s="5">
        <f t="shared" si="28"/>
        <v>9.9749999999999996</v>
      </c>
      <c r="Y24" s="5">
        <f t="shared" si="28"/>
        <v>9.9749999999999996</v>
      </c>
      <c r="Z24" s="5">
        <f t="shared" si="28"/>
        <v>9.9749999999999996</v>
      </c>
    </row>
    <row r="25" spans="2:139" x14ac:dyDescent="0.3">
      <c r="B25" t="s">
        <v>23</v>
      </c>
      <c r="D25" s="9">
        <f>D23/D24</f>
        <v>0.3283208020050124</v>
      </c>
      <c r="H25" s="9">
        <f>H23/H24</f>
        <v>8.120300751879686E-2</v>
      </c>
      <c r="L25" s="9">
        <f t="shared" ref="L25:O25" si="29">L23/L24</f>
        <v>0.27468671679197998</v>
      </c>
      <c r="M25" s="9">
        <f t="shared" si="29"/>
        <v>-0.23358395989974928</v>
      </c>
      <c r="N25" s="9">
        <f t="shared" si="29"/>
        <v>-1.3348370927318296</v>
      </c>
      <c r="O25" s="9">
        <f t="shared" si="29"/>
        <v>-0.8951378446115239</v>
      </c>
      <c r="P25" s="9">
        <f t="shared" ref="P25" si="30">P23/P24</f>
        <v>-0.41583458646616461</v>
      </c>
      <c r="Q25" s="9">
        <f t="shared" ref="Q25" si="31">Q23/Q24</f>
        <v>2.5433884711783598E-2</v>
      </c>
      <c r="R25" s="9">
        <f t="shared" ref="R25" si="32">R23/R24</f>
        <v>0.68819169924812795</v>
      </c>
      <c r="S25" s="9">
        <f t="shared" ref="S25" si="33">S23/S24</f>
        <v>0.97609767157895044</v>
      </c>
      <c r="T25" s="9">
        <f t="shared" ref="T25" si="34">T23/T24</f>
        <v>1.2430576966736935</v>
      </c>
      <c r="U25" s="9">
        <f t="shared" ref="U25" si="35">U23/U24</f>
        <v>1.2803494275739009</v>
      </c>
      <c r="V25" s="9">
        <f t="shared" ref="V25" si="36">V23/V24</f>
        <v>1.0641602062935003</v>
      </c>
      <c r="W25" s="9">
        <f t="shared" ref="W25" si="37">W23/W24</f>
        <v>0.83639331429253339</v>
      </c>
      <c r="X25" s="9">
        <f t="shared" ref="X25" si="38">X23/X24</f>
        <v>0.59659958156773896</v>
      </c>
      <c r="Y25" s="9">
        <f t="shared" ref="Y25" si="39">Y23/Y24</f>
        <v>0.34431432621813357</v>
      </c>
      <c r="Z25" s="9">
        <f t="shared" ref="Z25" si="40">Z23/Z24</f>
        <v>7.9056848352098447E-2</v>
      </c>
    </row>
    <row r="27" spans="2:139" x14ac:dyDescent="0.3">
      <c r="B27" t="s">
        <v>44</v>
      </c>
      <c r="C27" s="10"/>
      <c r="D27" s="10"/>
      <c r="E27" s="10"/>
      <c r="F27" s="10"/>
      <c r="G27" s="10" t="e">
        <f t="shared" ref="G27" si="41">G3/C3-1</f>
        <v>#DIV/0!</v>
      </c>
      <c r="H27" s="10">
        <f>H3/D3-1</f>
        <v>0.1446590461174615</v>
      </c>
      <c r="M27" s="10">
        <f>M3/L3-1</f>
        <v>0.64029304029304024</v>
      </c>
      <c r="N27" s="10">
        <f t="shared" ref="N27:Z27" si="42">N3/M3-1</f>
        <v>0.27266636891469398</v>
      </c>
      <c r="O27" s="10">
        <f t="shared" si="42"/>
        <v>0.25</v>
      </c>
      <c r="P27" s="10">
        <f t="shared" si="42"/>
        <v>0.14999999999999991</v>
      </c>
      <c r="Q27" s="10">
        <f t="shared" si="42"/>
        <v>0.10000000000000009</v>
      </c>
      <c r="R27" s="10">
        <f t="shared" si="42"/>
        <v>8.0000000000000071E-2</v>
      </c>
      <c r="S27" s="10">
        <f t="shared" si="42"/>
        <v>5.0000000000000044E-2</v>
      </c>
      <c r="T27" s="10">
        <f t="shared" si="42"/>
        <v>4.0000000000000036E-2</v>
      </c>
      <c r="U27" s="10">
        <f t="shared" si="42"/>
        <v>3.0000000000000027E-2</v>
      </c>
      <c r="V27" s="10">
        <f t="shared" si="42"/>
        <v>2.0000000000000018E-2</v>
      </c>
      <c r="W27" s="10">
        <f t="shared" si="42"/>
        <v>2.0000000000000018E-2</v>
      </c>
      <c r="X27" s="10">
        <f t="shared" si="42"/>
        <v>2.0000000000000018E-2</v>
      </c>
      <c r="Y27" s="10">
        <f t="shared" si="42"/>
        <v>2.0000000000000018E-2</v>
      </c>
      <c r="Z27" s="10">
        <f t="shared" si="42"/>
        <v>2.0000000000000018E-2</v>
      </c>
    </row>
    <row r="28" spans="2:139" x14ac:dyDescent="0.3">
      <c r="B28" t="s">
        <v>45</v>
      </c>
      <c r="C28" s="10" t="e">
        <f t="shared" ref="C28:G28" si="43">C9/C5</f>
        <v>#DIV/0!</v>
      </c>
      <c r="D28" s="10">
        <f t="shared" si="43"/>
        <v>0.69461305007587248</v>
      </c>
      <c r="E28" s="10" t="e">
        <f t="shared" si="43"/>
        <v>#DIV/0!</v>
      </c>
      <c r="F28" s="10" t="e">
        <f t="shared" si="43"/>
        <v>#DIV/0!</v>
      </c>
      <c r="G28" s="10" t="e">
        <f t="shared" si="43"/>
        <v>#DIV/0!</v>
      </c>
      <c r="H28" s="10">
        <f>H9/H5</f>
        <v>0.30096418732782365</v>
      </c>
      <c r="M28" s="10">
        <f>M9/M5</f>
        <v>0.21757679180887371</v>
      </c>
      <c r="N28" s="10">
        <f t="shared" ref="N28:Z28" si="44">N9/N5</f>
        <v>0.29982758620689653</v>
      </c>
      <c r="O28" s="10">
        <f t="shared" si="44"/>
        <v>0.30000000000000004</v>
      </c>
      <c r="P28" s="10">
        <f t="shared" si="44"/>
        <v>0.3</v>
      </c>
      <c r="Q28" s="10">
        <f t="shared" si="44"/>
        <v>0.3000000000000001</v>
      </c>
      <c r="R28" s="10">
        <f t="shared" si="44"/>
        <v>0.30000000000000004</v>
      </c>
      <c r="S28" s="10">
        <f t="shared" si="44"/>
        <v>0.3</v>
      </c>
      <c r="T28" s="10">
        <f t="shared" si="44"/>
        <v>0.3000000000000001</v>
      </c>
      <c r="U28" s="10">
        <f t="shared" si="44"/>
        <v>0.30000000000000004</v>
      </c>
      <c r="V28" s="10">
        <f t="shared" si="44"/>
        <v>0.30000000000000004</v>
      </c>
      <c r="W28" s="10">
        <f t="shared" si="44"/>
        <v>0.3000000000000001</v>
      </c>
      <c r="X28" s="10">
        <f t="shared" si="44"/>
        <v>0.30000000000000004</v>
      </c>
      <c r="Y28" s="10">
        <f t="shared" si="44"/>
        <v>0.3000000000000001</v>
      </c>
      <c r="Z28" s="10">
        <f t="shared" si="44"/>
        <v>0.30000000000000004</v>
      </c>
    </row>
    <row r="29" spans="2:139" x14ac:dyDescent="0.3">
      <c r="B29" t="s">
        <v>46</v>
      </c>
      <c r="C29" s="10" t="e">
        <f t="shared" ref="C29:G29" si="45">C10/C5</f>
        <v>#DIV/0!</v>
      </c>
      <c r="D29" s="10">
        <f t="shared" si="45"/>
        <v>4.552352048558422E-3</v>
      </c>
      <c r="E29" s="10" t="e">
        <f t="shared" si="45"/>
        <v>#DIV/0!</v>
      </c>
      <c r="F29" s="10" t="e">
        <f t="shared" si="45"/>
        <v>#DIV/0!</v>
      </c>
      <c r="G29" s="10" t="e">
        <f t="shared" si="45"/>
        <v>#DIV/0!</v>
      </c>
      <c r="H29" s="10">
        <f>H10/H5</f>
        <v>3.7878787878787884E-3</v>
      </c>
      <c r="M29" s="10">
        <f>M10/M5</f>
        <v>6.4846416382252558E-3</v>
      </c>
      <c r="N29" s="10">
        <f t="shared" ref="N29:Z29" si="46">N10/N5</f>
        <v>4.8275862068965511E-3</v>
      </c>
      <c r="O29" s="10">
        <f t="shared" si="46"/>
        <v>0.01</v>
      </c>
      <c r="P29" s="10">
        <f t="shared" si="46"/>
        <v>0.01</v>
      </c>
      <c r="Q29" s="10">
        <f t="shared" si="46"/>
        <v>0.01</v>
      </c>
      <c r="R29" s="10">
        <f t="shared" si="46"/>
        <v>0.01</v>
      </c>
      <c r="S29" s="10">
        <f t="shared" si="46"/>
        <v>0.01</v>
      </c>
      <c r="T29" s="10">
        <f t="shared" si="46"/>
        <v>0.01</v>
      </c>
      <c r="U29" s="10">
        <f t="shared" si="46"/>
        <v>0.01</v>
      </c>
      <c r="V29" s="10">
        <f t="shared" si="46"/>
        <v>0.01</v>
      </c>
      <c r="W29" s="10">
        <f t="shared" si="46"/>
        <v>0.01</v>
      </c>
      <c r="X29" s="10">
        <f t="shared" si="46"/>
        <v>0.01</v>
      </c>
      <c r="Y29" s="10">
        <f t="shared" si="46"/>
        <v>0.01</v>
      </c>
      <c r="Z29" s="10">
        <f t="shared" si="46"/>
        <v>0.01</v>
      </c>
      <c r="AB29" t="s">
        <v>51</v>
      </c>
      <c r="AC29" s="10">
        <v>-0.01</v>
      </c>
    </row>
    <row r="30" spans="2:139" x14ac:dyDescent="0.3">
      <c r="B30" t="s">
        <v>47</v>
      </c>
      <c r="C30" s="10"/>
      <c r="D30" s="10"/>
      <c r="E30" s="10"/>
      <c r="F30" s="10"/>
      <c r="G30" s="10" t="e">
        <f t="shared" ref="G30" si="47">G11/C11-1</f>
        <v>#DIV/0!</v>
      </c>
      <c r="H30" s="10">
        <f>H11/D11-1</f>
        <v>2.6315789473684292E-2</v>
      </c>
      <c r="M30" s="10">
        <f>M11/L11-1</f>
        <v>1.4705882352941124E-2</v>
      </c>
      <c r="N30" s="10">
        <f t="shared" ref="N30:Z30" si="48">N11/M11-1</f>
        <v>-0.27826086956521745</v>
      </c>
      <c r="O30" s="10">
        <f t="shared" si="48"/>
        <v>0.30000000000000004</v>
      </c>
      <c r="P30" s="10">
        <f t="shared" si="48"/>
        <v>0.19999999999999996</v>
      </c>
      <c r="Q30" s="10">
        <f t="shared" si="48"/>
        <v>5.0000000000000044E-2</v>
      </c>
      <c r="R30" s="10">
        <f t="shared" si="48"/>
        <v>4.0000000000000036E-2</v>
      </c>
      <c r="S30" s="10">
        <f t="shared" si="48"/>
        <v>3.0000000000000027E-2</v>
      </c>
      <c r="T30" s="10">
        <f t="shared" si="48"/>
        <v>3.0000000000000027E-2</v>
      </c>
      <c r="U30" s="10">
        <f t="shared" si="48"/>
        <v>3.0000000000000027E-2</v>
      </c>
      <c r="V30" s="10">
        <f t="shared" si="48"/>
        <v>3.0000000000000027E-2</v>
      </c>
      <c r="W30" s="10">
        <f t="shared" si="48"/>
        <v>3.0000000000000027E-2</v>
      </c>
      <c r="X30" s="10">
        <f t="shared" si="48"/>
        <v>3.0000000000000027E-2</v>
      </c>
      <c r="Y30" s="10">
        <f t="shared" si="48"/>
        <v>3.0000000000000027E-2</v>
      </c>
      <c r="Z30" s="10">
        <f t="shared" si="48"/>
        <v>3.0000000000000027E-2</v>
      </c>
      <c r="AB30" t="s">
        <v>52</v>
      </c>
      <c r="AC30" s="10">
        <v>0.15</v>
      </c>
    </row>
    <row r="31" spans="2:139" x14ac:dyDescent="0.3">
      <c r="B31" t="s">
        <v>48</v>
      </c>
      <c r="C31" s="10"/>
      <c r="D31" s="10"/>
      <c r="E31" s="10"/>
      <c r="F31" s="10"/>
      <c r="G31" s="10" t="e">
        <f t="shared" ref="G31" si="49">G12/C12-1</f>
        <v>#DIV/0!</v>
      </c>
      <c r="H31" s="10">
        <f>H12/D12-1</f>
        <v>-0.1778741865509762</v>
      </c>
      <c r="M31" s="10">
        <f>M12/L12-1</f>
        <v>-0.12429906542056068</v>
      </c>
      <c r="N31" s="10">
        <f t="shared" ref="N31:Z31" si="50">N12/M12-1</f>
        <v>0.72038420490928479</v>
      </c>
      <c r="O31" s="10">
        <f t="shared" si="50"/>
        <v>0.14999999999999991</v>
      </c>
      <c r="P31" s="10">
        <f t="shared" si="50"/>
        <v>0.10000000000000009</v>
      </c>
      <c r="Q31" s="10">
        <f t="shared" si="50"/>
        <v>8.0000000000000071E-2</v>
      </c>
      <c r="R31" s="10">
        <f t="shared" si="50"/>
        <v>5.0000000000000044E-2</v>
      </c>
      <c r="S31" s="10">
        <f t="shared" si="50"/>
        <v>4.0000000000000036E-2</v>
      </c>
      <c r="T31" s="10">
        <f t="shared" si="50"/>
        <v>3.0000000000000027E-2</v>
      </c>
      <c r="U31" s="10">
        <f t="shared" si="50"/>
        <v>3.0000000000000027E-2</v>
      </c>
      <c r="V31" s="10">
        <f t="shared" si="50"/>
        <v>3.0000000000000027E-2</v>
      </c>
      <c r="W31" s="10">
        <f t="shared" si="50"/>
        <v>3.0000000000000027E-2</v>
      </c>
      <c r="X31" s="10">
        <f t="shared" si="50"/>
        <v>3.0000000000000027E-2</v>
      </c>
      <c r="Y31" s="10">
        <f t="shared" si="50"/>
        <v>3.0000000000000027E-2</v>
      </c>
      <c r="Z31" s="10">
        <f t="shared" si="50"/>
        <v>3.0000000000000027E-2</v>
      </c>
      <c r="AB31" t="s">
        <v>53</v>
      </c>
      <c r="AC31" s="5">
        <f>NPV(AC30,O23:EI23)</f>
        <v>17.303966904979536</v>
      </c>
    </row>
    <row r="32" spans="2:139" x14ac:dyDescent="0.3">
      <c r="B32" t="s">
        <v>49</v>
      </c>
      <c r="C32" s="10" t="e">
        <f t="shared" ref="C32:G32" si="51">C18/C5</f>
        <v>#DIV/0!</v>
      </c>
      <c r="D32" s="10">
        <f t="shared" si="51"/>
        <v>0.31145675265553863</v>
      </c>
      <c r="E32" s="10" t="e">
        <f t="shared" si="51"/>
        <v>#DIV/0!</v>
      </c>
      <c r="F32" s="10" t="e">
        <f t="shared" si="51"/>
        <v>#DIV/0!</v>
      </c>
      <c r="G32" s="10" t="e">
        <f t="shared" si="51"/>
        <v>#DIV/0!</v>
      </c>
      <c r="H32" s="10">
        <f>H18/H5</f>
        <v>9.2975206611569366E-3</v>
      </c>
      <c r="M32" s="10">
        <f>M18/M5</f>
        <v>-9.0273037542662082E-2</v>
      </c>
      <c r="N32" s="10">
        <f t="shared" ref="N32:Z32" si="52">N18/N5</f>
        <v>-0.42293103448275865</v>
      </c>
      <c r="O32" s="10">
        <f t="shared" si="52"/>
        <v>-1.5667660993156609E-2</v>
      </c>
      <c r="P32" s="10">
        <f t="shared" si="52"/>
        <v>-6.3290279759225373E-3</v>
      </c>
      <c r="Q32" s="10">
        <f t="shared" si="52"/>
        <v>3.5191389932502041E-4</v>
      </c>
      <c r="R32" s="10">
        <f t="shared" si="52"/>
        <v>8.8167676598142116E-3</v>
      </c>
      <c r="S32" s="10">
        <f t="shared" si="52"/>
        <v>1.1909785619879725E-2</v>
      </c>
      <c r="T32" s="10">
        <f t="shared" si="52"/>
        <v>1.4583729988919412E-2</v>
      </c>
      <c r="U32" s="10">
        <f t="shared" si="52"/>
        <v>1.4583729988919374E-2</v>
      </c>
      <c r="V32" s="10">
        <f t="shared" si="52"/>
        <v>1.1883570479006858E-2</v>
      </c>
      <c r="W32" s="10">
        <f t="shared" si="52"/>
        <v>9.1569388170363517E-3</v>
      </c>
      <c r="X32" s="10">
        <f t="shared" si="52"/>
        <v>6.40357547210532E-3</v>
      </c>
      <c r="Y32" s="10">
        <f t="shared" si="52"/>
        <v>3.6232183688906972E-3</v>
      </c>
      <c r="Z32" s="10">
        <f t="shared" si="52"/>
        <v>8.1560286270328946E-4</v>
      </c>
      <c r="AB32" t="s">
        <v>54</v>
      </c>
      <c r="AC32" s="5">
        <f>AC31/Main!D13</f>
        <v>2.3834665158374015</v>
      </c>
    </row>
    <row r="33" spans="2:29" x14ac:dyDescent="0.3">
      <c r="B33" t="s">
        <v>21</v>
      </c>
      <c r="C33" s="10" t="e">
        <f t="shared" ref="C33:G33" si="53">C21/C20</f>
        <v>#DIV/0!</v>
      </c>
      <c r="D33" s="10">
        <f t="shared" si="53"/>
        <v>1.6474464579901162E-3</v>
      </c>
      <c r="E33" s="10" t="e">
        <f t="shared" si="53"/>
        <v>#DIV/0!</v>
      </c>
      <c r="F33" s="10" t="e">
        <f t="shared" si="53"/>
        <v>#DIV/0!</v>
      </c>
      <c r="G33" s="10" t="e">
        <f t="shared" si="53"/>
        <v>#DIV/0!</v>
      </c>
      <c r="H33" s="10">
        <f>H21/H20</f>
        <v>4.3290043290043344E-2</v>
      </c>
      <c r="M33" s="10">
        <f>M21/M20</f>
        <v>7.539682539682542E-2</v>
      </c>
      <c r="N33" s="10">
        <f t="shared" ref="N33:Z33" si="54">N21/N20</f>
        <v>9.300595238095238E-3</v>
      </c>
      <c r="O33" s="10">
        <f t="shared" si="54"/>
        <v>0.19999999999999998</v>
      </c>
      <c r="P33" s="10">
        <f t="shared" si="54"/>
        <v>0.2</v>
      </c>
      <c r="Q33" s="10">
        <f t="shared" si="54"/>
        <v>0.2</v>
      </c>
      <c r="R33" s="10">
        <f t="shared" si="54"/>
        <v>0.2</v>
      </c>
      <c r="S33" s="10">
        <f t="shared" si="54"/>
        <v>0.2</v>
      </c>
      <c r="T33" s="10">
        <f t="shared" si="54"/>
        <v>0.2</v>
      </c>
      <c r="U33" s="10">
        <f t="shared" si="54"/>
        <v>0.2</v>
      </c>
      <c r="V33" s="10">
        <f t="shared" si="54"/>
        <v>0.2</v>
      </c>
      <c r="W33" s="10">
        <f t="shared" si="54"/>
        <v>0.2</v>
      </c>
      <c r="X33" s="10">
        <f t="shared" si="54"/>
        <v>0.2</v>
      </c>
      <c r="Y33" s="10">
        <f t="shared" si="54"/>
        <v>0.2</v>
      </c>
      <c r="Z33" s="10">
        <f t="shared" si="54"/>
        <v>0.2</v>
      </c>
      <c r="AB33" t="s">
        <v>55</v>
      </c>
      <c r="AC33" s="5">
        <f>Main!D10</f>
        <v>42.906336088154269</v>
      </c>
    </row>
    <row r="34" spans="2:29" x14ac:dyDescent="0.3">
      <c r="B34" t="s">
        <v>43</v>
      </c>
      <c r="C34" s="10" t="e">
        <f t="shared" ref="C34:G34" si="55">C22/C20</f>
        <v>#DIV/0!</v>
      </c>
      <c r="D34" s="10">
        <f t="shared" si="55"/>
        <v>-8.07248764415157E-2</v>
      </c>
      <c r="E34" s="10" t="e">
        <f t="shared" si="55"/>
        <v>#DIV/0!</v>
      </c>
      <c r="F34" s="10" t="e">
        <f t="shared" si="55"/>
        <v>#DIV/0!</v>
      </c>
      <c r="G34" s="10" t="e">
        <f t="shared" si="55"/>
        <v>#DIV/0!</v>
      </c>
      <c r="H34" s="10">
        <f>H22/H20</f>
        <v>0.2554112554112557</v>
      </c>
      <c r="M34" s="10">
        <f>M22/M20</f>
        <v>0</v>
      </c>
      <c r="N34" s="10">
        <f t="shared" ref="N34:Z34" si="56">N22/N20</f>
        <v>0</v>
      </c>
      <c r="O34" s="10">
        <f t="shared" si="56"/>
        <v>0</v>
      </c>
      <c r="P34" s="10">
        <f t="shared" si="56"/>
        <v>0</v>
      </c>
      <c r="Q34" s="10">
        <f t="shared" si="56"/>
        <v>0</v>
      </c>
      <c r="R34" s="10">
        <f t="shared" si="56"/>
        <v>0</v>
      </c>
      <c r="S34" s="10">
        <f t="shared" si="56"/>
        <v>0</v>
      </c>
      <c r="T34" s="10">
        <f t="shared" si="56"/>
        <v>0</v>
      </c>
      <c r="U34" s="10">
        <f t="shared" si="56"/>
        <v>0</v>
      </c>
      <c r="V34" s="10">
        <f t="shared" si="56"/>
        <v>0</v>
      </c>
      <c r="W34" s="10">
        <f t="shared" si="56"/>
        <v>0</v>
      </c>
      <c r="X34" s="10">
        <f t="shared" si="56"/>
        <v>0</v>
      </c>
      <c r="Y34" s="10">
        <f t="shared" si="56"/>
        <v>0</v>
      </c>
      <c r="Z34" s="10">
        <f t="shared" si="56"/>
        <v>0</v>
      </c>
      <c r="AB34" t="s">
        <v>56</v>
      </c>
      <c r="AC34" s="5">
        <f>AC32+AC33</f>
        <v>45.289802603991674</v>
      </c>
    </row>
    <row r="35" spans="2:29" x14ac:dyDescent="0.3">
      <c r="B35" t="s">
        <v>50</v>
      </c>
      <c r="C35" s="10" t="e">
        <f t="shared" ref="C35:G35" si="57">C23/C5</f>
        <v>#DIV/0!</v>
      </c>
      <c r="D35" s="10">
        <f t="shared" si="57"/>
        <v>0.24848254931714711</v>
      </c>
      <c r="E35" s="10" t="e">
        <f t="shared" si="57"/>
        <v>#DIV/0!</v>
      </c>
      <c r="F35" s="10" t="e">
        <f t="shared" si="57"/>
        <v>#DIV/0!</v>
      </c>
      <c r="G35" s="10" t="e">
        <f t="shared" si="57"/>
        <v>#DIV/0!</v>
      </c>
      <c r="H35" s="10">
        <f>H23/H5</f>
        <v>5.5785123966942067E-2</v>
      </c>
      <c r="M35" s="10">
        <f>M23/M5</f>
        <v>-7.9522184300341262E-2</v>
      </c>
      <c r="N35" s="10">
        <f t="shared" ref="N35:Z35" si="58">N23/N5</f>
        <v>-0.4591379310344828</v>
      </c>
      <c r="O35" s="10">
        <f t="shared" si="58"/>
        <v>-1.2534128794525286E-2</v>
      </c>
      <c r="P35" s="10">
        <f t="shared" si="58"/>
        <v>-5.0632223807380297E-3</v>
      </c>
      <c r="Q35" s="10">
        <f t="shared" si="58"/>
        <v>2.8153111946001638E-4</v>
      </c>
      <c r="R35" s="10">
        <f t="shared" si="58"/>
        <v>7.0534141278513693E-3</v>
      </c>
      <c r="S35" s="10">
        <f t="shared" si="58"/>
        <v>9.5278284959037784E-3</v>
      </c>
      <c r="T35" s="10">
        <f t="shared" si="58"/>
        <v>1.166698399113553E-2</v>
      </c>
      <c r="U35" s="10">
        <f t="shared" si="58"/>
        <v>1.1666983991135499E-2</v>
      </c>
      <c r="V35" s="10">
        <f t="shared" si="58"/>
        <v>9.5068563832054857E-3</v>
      </c>
      <c r="W35" s="10">
        <f t="shared" si="58"/>
        <v>7.3255510536290817E-3</v>
      </c>
      <c r="X35" s="10">
        <f t="shared" si="58"/>
        <v>5.1228603776842562E-3</v>
      </c>
      <c r="Y35" s="10">
        <f t="shared" si="58"/>
        <v>2.8985746951125575E-3</v>
      </c>
      <c r="Z35" s="10">
        <f t="shared" si="58"/>
        <v>6.5248229016263157E-4</v>
      </c>
      <c r="AB35" t="s">
        <v>57</v>
      </c>
      <c r="AC35" s="2">
        <f>AC34/Z24</f>
        <v>4.5403310881194665</v>
      </c>
    </row>
    <row r="36" spans="2:29" x14ac:dyDescent="0.3">
      <c r="AB36" t="s">
        <v>58</v>
      </c>
      <c r="AC36" s="2">
        <f>Main!D3</f>
        <v>18.45</v>
      </c>
    </row>
    <row r="37" spans="2:29" x14ac:dyDescent="0.3">
      <c r="AB37" s="1" t="s">
        <v>59</v>
      </c>
      <c r="AC37" s="11">
        <f>AC35/AC36-1</f>
        <v>-0.7539115941398663</v>
      </c>
    </row>
    <row r="38" spans="2:29" x14ac:dyDescent="0.3">
      <c r="AB38" t="s">
        <v>60</v>
      </c>
      <c r="AC38" s="8" t="s">
        <v>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2024-12-11T11:39:00Z</dcterms:created>
  <dcterms:modified xsi:type="dcterms:W3CDTF">2025-04-04T09:45:02Z</dcterms:modified>
</cp:coreProperties>
</file>