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B6EF3D8-062E-4A5C-9E47-D3747E35B130}" xr6:coauthVersionLast="47" xr6:coauthVersionMax="47" xr10:uidLastSave="{00000000-0000-0000-0000-000000000000}"/>
  <bookViews>
    <workbookView xWindow="-108" yWindow="-108" windowWidth="23256" windowHeight="12576" xr2:uid="{4356B27A-C536-44F6-98CF-2786A5189C1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2" l="1"/>
  <c r="AF5" i="2"/>
  <c r="AE5" i="2"/>
  <c r="AD5" i="2"/>
  <c r="AC5" i="2"/>
  <c r="AB5" i="2"/>
  <c r="AA5" i="2"/>
  <c r="Z5" i="2"/>
  <c r="Y5" i="2"/>
  <c r="X5" i="2"/>
  <c r="Y3" i="2"/>
  <c r="P3" i="2"/>
  <c r="P5" i="2" s="1"/>
  <c r="P21" i="2" s="1"/>
  <c r="O3" i="2"/>
  <c r="O20" i="2" s="1"/>
  <c r="X15" i="2"/>
  <c r="X12" i="2"/>
  <c r="X11" i="2"/>
  <c r="X10" i="2"/>
  <c r="X8" i="2"/>
  <c r="X7" i="2"/>
  <c r="X6" i="2"/>
  <c r="P23" i="2"/>
  <c r="O23" i="2"/>
  <c r="P6" i="2"/>
  <c r="O6" i="2"/>
  <c r="N5" i="2"/>
  <c r="N15" i="2"/>
  <c r="N14" i="2"/>
  <c r="N12" i="2"/>
  <c r="N11" i="2"/>
  <c r="N10" i="2"/>
  <c r="N8" i="2"/>
  <c r="N7" i="2"/>
  <c r="N6" i="2"/>
  <c r="N4" i="2"/>
  <c r="N3" i="2"/>
  <c r="W8" i="2"/>
  <c r="W7" i="2"/>
  <c r="D6" i="1"/>
  <c r="P20" i="2" l="1"/>
  <c r="O5" i="2"/>
  <c r="X3" i="2"/>
  <c r="Z3" i="2" s="1"/>
  <c r="P4" i="2"/>
  <c r="P9" i="2"/>
  <c r="O9" i="2"/>
  <c r="AJ28" i="2"/>
  <c r="Y12" i="2"/>
  <c r="Z12" i="2" s="1"/>
  <c r="AA12" i="2" s="1"/>
  <c r="AB12" i="2" s="1"/>
  <c r="AC12" i="2" s="1"/>
  <c r="M23" i="2"/>
  <c r="K23" i="2"/>
  <c r="I23" i="2"/>
  <c r="G23" i="2"/>
  <c r="M20" i="2"/>
  <c r="K20" i="2"/>
  <c r="I20" i="2"/>
  <c r="G20" i="2"/>
  <c r="V23" i="2"/>
  <c r="U23" i="2"/>
  <c r="T23" i="2"/>
  <c r="S23" i="2"/>
  <c r="V20" i="2"/>
  <c r="U20" i="2"/>
  <c r="T20" i="2"/>
  <c r="S20" i="2"/>
  <c r="J15" i="2"/>
  <c r="J14" i="2"/>
  <c r="J12" i="2"/>
  <c r="J11" i="2"/>
  <c r="J10" i="2"/>
  <c r="J8" i="2"/>
  <c r="J7" i="2"/>
  <c r="J6" i="2"/>
  <c r="J4" i="2"/>
  <c r="J3" i="2"/>
  <c r="H15" i="2"/>
  <c r="H14" i="2"/>
  <c r="H12" i="2"/>
  <c r="H11" i="2"/>
  <c r="H10" i="2"/>
  <c r="H8" i="2"/>
  <c r="H7" i="2"/>
  <c r="H6" i="2"/>
  <c r="H4" i="2"/>
  <c r="H3" i="2"/>
  <c r="D15" i="2"/>
  <c r="D14" i="2"/>
  <c r="D12" i="2"/>
  <c r="D11" i="2"/>
  <c r="D10" i="2"/>
  <c r="D7" i="2"/>
  <c r="D4" i="2"/>
  <c r="D3" i="2"/>
  <c r="D5" i="2" s="1"/>
  <c r="D21" i="2" s="1"/>
  <c r="F15" i="2"/>
  <c r="F14" i="2"/>
  <c r="F12" i="2"/>
  <c r="F11" i="2"/>
  <c r="F10" i="2"/>
  <c r="F8" i="2"/>
  <c r="F7" i="2"/>
  <c r="F6" i="2"/>
  <c r="F4" i="2"/>
  <c r="F3" i="2"/>
  <c r="C8" i="2"/>
  <c r="D8" i="2" s="1"/>
  <c r="C6" i="2"/>
  <c r="D6" i="2" s="1"/>
  <c r="C5" i="2"/>
  <c r="C21" i="2" s="1"/>
  <c r="E5" i="2"/>
  <c r="E9" i="2" s="1"/>
  <c r="E13" i="2" s="1"/>
  <c r="E16" i="2" s="1"/>
  <c r="E18" i="2" s="1"/>
  <c r="R5" i="2"/>
  <c r="R9" i="2" s="1"/>
  <c r="R13" i="2" s="1"/>
  <c r="R16" i="2" s="1"/>
  <c r="R18" i="2" s="1"/>
  <c r="S5" i="2"/>
  <c r="S9" i="2" s="1"/>
  <c r="S13" i="2" s="1"/>
  <c r="S16" i="2" s="1"/>
  <c r="S18" i="2" s="1"/>
  <c r="T5" i="2"/>
  <c r="T9" i="2" s="1"/>
  <c r="T13" i="2" s="1"/>
  <c r="T16" i="2" s="1"/>
  <c r="T18" i="2" s="1"/>
  <c r="G5" i="2"/>
  <c r="G9" i="2" s="1"/>
  <c r="G13" i="2" s="1"/>
  <c r="G16" i="2" s="1"/>
  <c r="G18" i="2" s="1"/>
  <c r="I5" i="2"/>
  <c r="I9" i="2" s="1"/>
  <c r="I13" i="2" s="1"/>
  <c r="I16" i="2" s="1"/>
  <c r="I18" i="2" s="1"/>
  <c r="U5" i="2"/>
  <c r="U9" i="2" s="1"/>
  <c r="U13" i="2" s="1"/>
  <c r="U16" i="2" s="1"/>
  <c r="U18" i="2" s="1"/>
  <c r="L15" i="2"/>
  <c r="L14" i="2"/>
  <c r="L12" i="2"/>
  <c r="L11" i="2"/>
  <c r="L10" i="2"/>
  <c r="L8" i="2"/>
  <c r="L6" i="2"/>
  <c r="L4" i="2"/>
  <c r="L3" i="2"/>
  <c r="K5" i="2"/>
  <c r="K9" i="2" s="1"/>
  <c r="K13" i="2" s="1"/>
  <c r="K16" i="2" s="1"/>
  <c r="K18" i="2" s="1"/>
  <c r="V7" i="2"/>
  <c r="L7" i="2" s="1"/>
  <c r="V5" i="2"/>
  <c r="V21" i="2" s="1"/>
  <c r="M5" i="2"/>
  <c r="M9" i="2" s="1"/>
  <c r="M13" i="2" s="1"/>
  <c r="M16" i="2" s="1"/>
  <c r="M18" i="2" s="1"/>
  <c r="D8" i="1"/>
  <c r="D9" i="1" s="1"/>
  <c r="D5" i="1"/>
  <c r="F3" i="1"/>
  <c r="P13" i="2" l="1"/>
  <c r="P14" i="2" s="1"/>
  <c r="P22" i="2"/>
  <c r="O22" i="2"/>
  <c r="O13" i="2"/>
  <c r="O4" i="2"/>
  <c r="X4" i="2" s="1"/>
  <c r="O21" i="2"/>
  <c r="AJ25" i="2"/>
  <c r="F20" i="2"/>
  <c r="K25" i="2"/>
  <c r="H20" i="2"/>
  <c r="U21" i="2"/>
  <c r="R22" i="2"/>
  <c r="H23" i="2"/>
  <c r="J20" i="2"/>
  <c r="R24" i="2"/>
  <c r="S24" i="2"/>
  <c r="J23" i="2"/>
  <c r="E22" i="2"/>
  <c r="U24" i="2"/>
  <c r="T21" i="2"/>
  <c r="K24" i="2"/>
  <c r="U25" i="2"/>
  <c r="Y6" i="2"/>
  <c r="Z6" i="2" s="1"/>
  <c r="AA6" i="2" s="1"/>
  <c r="AB6" i="2" s="1"/>
  <c r="AC6" i="2" s="1"/>
  <c r="N23" i="2"/>
  <c r="F23" i="2"/>
  <c r="N20" i="2"/>
  <c r="N21" i="2"/>
  <c r="I25" i="2"/>
  <c r="G21" i="2"/>
  <c r="I21" i="2"/>
  <c r="K22" i="2"/>
  <c r="M24" i="2"/>
  <c r="T24" i="2"/>
  <c r="I22" i="2"/>
  <c r="G24" i="2"/>
  <c r="K21" i="2"/>
  <c r="M22" i="2"/>
  <c r="S22" i="2"/>
  <c r="L20" i="2"/>
  <c r="M25" i="2"/>
  <c r="T22" i="2"/>
  <c r="R25" i="2"/>
  <c r="G25" i="2"/>
  <c r="H5" i="2"/>
  <c r="H21" i="2" s="1"/>
  <c r="M21" i="2"/>
  <c r="I24" i="2"/>
  <c r="E25" i="2"/>
  <c r="R21" i="2"/>
  <c r="U22" i="2"/>
  <c r="S25" i="2"/>
  <c r="L23" i="2"/>
  <c r="G22" i="2"/>
  <c r="E21" i="2"/>
  <c r="E24" i="2"/>
  <c r="S21" i="2"/>
  <c r="T25" i="2"/>
  <c r="AD12" i="2"/>
  <c r="W23" i="2"/>
  <c r="J5" i="2"/>
  <c r="D9" i="2"/>
  <c r="F5" i="2"/>
  <c r="C9" i="2"/>
  <c r="L5" i="2"/>
  <c r="V9" i="2"/>
  <c r="P16" i="2" l="1"/>
  <c r="P24" i="2"/>
  <c r="O14" i="2"/>
  <c r="O16" i="2" s="1"/>
  <c r="Y23" i="2"/>
  <c r="X23" i="2"/>
  <c r="W5" i="2"/>
  <c r="W21" i="2" s="1"/>
  <c r="H9" i="2"/>
  <c r="L9" i="2"/>
  <c r="L21" i="2"/>
  <c r="N9" i="2"/>
  <c r="N22" i="2" s="1"/>
  <c r="C13" i="2"/>
  <c r="C22" i="2"/>
  <c r="F9" i="2"/>
  <c r="F21" i="2"/>
  <c r="J9" i="2"/>
  <c r="J21" i="2"/>
  <c r="H13" i="2"/>
  <c r="H22" i="2"/>
  <c r="D13" i="2"/>
  <c r="D22" i="2"/>
  <c r="V13" i="2"/>
  <c r="V22" i="2"/>
  <c r="W20" i="2"/>
  <c r="W9" i="2"/>
  <c r="W22" i="2" s="1"/>
  <c r="AE12" i="2"/>
  <c r="Z23" i="2"/>
  <c r="P18" i="2" l="1"/>
  <c r="P25" i="2"/>
  <c r="O18" i="2"/>
  <c r="O25" i="2"/>
  <c r="X14" i="2"/>
  <c r="O24" i="2"/>
  <c r="N13" i="2"/>
  <c r="J13" i="2"/>
  <c r="J22" i="2"/>
  <c r="D16" i="2"/>
  <c r="D24" i="2"/>
  <c r="C16" i="2"/>
  <c r="C24" i="2"/>
  <c r="V16" i="2"/>
  <c r="V24" i="2"/>
  <c r="H16" i="2"/>
  <c r="H24" i="2"/>
  <c r="F13" i="2"/>
  <c r="F22" i="2"/>
  <c r="X20" i="2"/>
  <c r="L13" i="2"/>
  <c r="L22" i="2"/>
  <c r="W13" i="2"/>
  <c r="AF12" i="2"/>
  <c r="AA23" i="2"/>
  <c r="N24" i="2" l="1"/>
  <c r="W24" i="2"/>
  <c r="N16" i="2"/>
  <c r="N25" i="2" s="1"/>
  <c r="V18" i="2"/>
  <c r="V25" i="2"/>
  <c r="C18" i="2"/>
  <c r="C25" i="2"/>
  <c r="F16" i="2"/>
  <c r="F24" i="2"/>
  <c r="D18" i="2"/>
  <c r="D25" i="2"/>
  <c r="X21" i="2"/>
  <c r="X9" i="2"/>
  <c r="Y4" i="2"/>
  <c r="Y20" i="2"/>
  <c r="L16" i="2"/>
  <c r="L24" i="2"/>
  <c r="H18" i="2"/>
  <c r="H25" i="2"/>
  <c r="J16" i="2"/>
  <c r="J24" i="2"/>
  <c r="W16" i="2"/>
  <c r="W18" i="2" s="1"/>
  <c r="AG12" i="2"/>
  <c r="AB23" i="2"/>
  <c r="N18" i="2" l="1"/>
  <c r="Z4" i="2"/>
  <c r="AA3" i="2"/>
  <c r="Z20" i="2"/>
  <c r="J18" i="2"/>
  <c r="J25" i="2"/>
  <c r="Y21" i="2"/>
  <c r="Y9" i="2"/>
  <c r="L18" i="2"/>
  <c r="L25" i="2"/>
  <c r="F18" i="2"/>
  <c r="F25" i="2"/>
  <c r="X13" i="2"/>
  <c r="X22" i="2"/>
  <c r="W25" i="2"/>
  <c r="AD6" i="2"/>
  <c r="AC23" i="2"/>
  <c r="Y13" i="2" l="1"/>
  <c r="Y22" i="2"/>
  <c r="X24" i="2"/>
  <c r="AB3" i="2"/>
  <c r="AA4" i="2"/>
  <c r="AA20" i="2"/>
  <c r="Z21" i="2"/>
  <c r="Z9" i="2"/>
  <c r="AE6" i="2"/>
  <c r="AD23" i="2"/>
  <c r="AB20" i="2" l="1"/>
  <c r="AB4" i="2"/>
  <c r="AC3" i="2"/>
  <c r="AA21" i="2"/>
  <c r="AA9" i="2"/>
  <c r="X16" i="2"/>
  <c r="Z13" i="2"/>
  <c r="Z22" i="2"/>
  <c r="Y14" i="2"/>
  <c r="Y24" i="2" s="1"/>
  <c r="AF6" i="2"/>
  <c r="AE23" i="2"/>
  <c r="Z14" i="2" l="1"/>
  <c r="Z24" i="2" s="1"/>
  <c r="X25" i="2"/>
  <c r="X18" i="2"/>
  <c r="AA13" i="2"/>
  <c r="AA22" i="2"/>
  <c r="Y16" i="2"/>
  <c r="AD3" i="2"/>
  <c r="AC20" i="2"/>
  <c r="AB21" i="2"/>
  <c r="AB9" i="2"/>
  <c r="AG6" i="2"/>
  <c r="AG23" i="2" s="1"/>
  <c r="AF23" i="2"/>
  <c r="Z16" i="2" l="1"/>
  <c r="Z18" i="2" s="1"/>
  <c r="AB22" i="2"/>
  <c r="AB13" i="2"/>
  <c r="Y25" i="2"/>
  <c r="Y18" i="2"/>
  <c r="AC9" i="2"/>
  <c r="AC21" i="2"/>
  <c r="AA14" i="2"/>
  <c r="AA24" i="2" s="1"/>
  <c r="AC4" i="2"/>
  <c r="AD4" i="2"/>
  <c r="AE3" i="2"/>
  <c r="AD20" i="2"/>
  <c r="Z25" i="2" l="1"/>
  <c r="AE4" i="2"/>
  <c r="AF3" i="2"/>
  <c r="AE20" i="2"/>
  <c r="AC13" i="2"/>
  <c r="AC22" i="2"/>
  <c r="AD21" i="2"/>
  <c r="AD9" i="2"/>
  <c r="AA16" i="2"/>
  <c r="AB14" i="2"/>
  <c r="AB24" i="2" s="1"/>
  <c r="AB16" i="2" l="1"/>
  <c r="AB18" i="2" s="1"/>
  <c r="AD22" i="2"/>
  <c r="AD13" i="2"/>
  <c r="AC14" i="2"/>
  <c r="AC24" i="2" s="1"/>
  <c r="AF4" i="2"/>
  <c r="AG3" i="2"/>
  <c r="AF20" i="2"/>
  <c r="AA25" i="2"/>
  <c r="AA18" i="2"/>
  <c r="AE21" i="2"/>
  <c r="AE9" i="2"/>
  <c r="AC16" i="2" l="1"/>
  <c r="AC18" i="2" s="1"/>
  <c r="AB25" i="2"/>
  <c r="AE13" i="2"/>
  <c r="AE22" i="2"/>
  <c r="AF21" i="2"/>
  <c r="AF9" i="2"/>
  <c r="AD14" i="2"/>
  <c r="AD24" i="2" s="1"/>
  <c r="AG4" i="2"/>
  <c r="AG20" i="2"/>
  <c r="AC25" i="2" l="1"/>
  <c r="AD16" i="2"/>
  <c r="AD25" i="2" s="1"/>
  <c r="AE14" i="2"/>
  <c r="AE24" i="2" s="1"/>
  <c r="AG21" i="2"/>
  <c r="AG9" i="2"/>
  <c r="AF13" i="2"/>
  <c r="AF22" i="2"/>
  <c r="AD18" i="2" l="1"/>
  <c r="AE16" i="2"/>
  <c r="AE18" i="2" s="1"/>
  <c r="AF14" i="2"/>
  <c r="AF24" i="2" s="1"/>
  <c r="AG22" i="2"/>
  <c r="AG13" i="2"/>
  <c r="AF16" i="2" l="1"/>
  <c r="AF25" i="2" s="1"/>
  <c r="AE25" i="2"/>
  <c r="AG14" i="2"/>
  <c r="AG24" i="2" s="1"/>
  <c r="AF18" i="2" l="1"/>
  <c r="AG16" i="2"/>
  <c r="AG18" i="2" l="1"/>
  <c r="AH16" i="2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AG25" i="2"/>
  <c r="AJ24" i="2" l="1"/>
  <c r="AJ26" i="2" s="1"/>
  <c r="AJ27" i="2" s="1"/>
  <c r="AJ29" i="2" s="1"/>
</calcChain>
</file>

<file path=xl/sharedStrings.xml><?xml version="1.0" encoding="utf-8"?>
<sst xmlns="http://schemas.openxmlformats.org/spreadsheetml/2006/main" count="61" uniqueCount="56">
  <si>
    <t>MUL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</si>
  <si>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</si>
  <si>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</si>
  <si>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</si>
  <si>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</si>
  <si>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</si>
  <si>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</si>
  <si>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</si>
  <si>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</si>
  <si>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</si>
  <si>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</si>
  <si>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H121</t>
  </si>
  <si>
    <t>Revenue</t>
  </si>
  <si>
    <t>H118</t>
  </si>
  <si>
    <t>H218</t>
  </si>
  <si>
    <t>H119</t>
  </si>
  <si>
    <t>H219</t>
  </si>
  <si>
    <t>H120</t>
  </si>
  <si>
    <t>H220</t>
  </si>
  <si>
    <t>H221</t>
  </si>
  <si>
    <t>Cost of sales</t>
  </si>
  <si>
    <t>Gross profit</t>
  </si>
  <si>
    <t>Impairment</t>
  </si>
  <si>
    <t>SG&amp;A</t>
  </si>
  <si>
    <t>Other income</t>
  </si>
  <si>
    <t>Operating profit</t>
  </si>
  <si>
    <t>Share of associates</t>
  </si>
  <si>
    <t>Finance income</t>
  </si>
  <si>
    <t>Finance expense</t>
  </si>
  <si>
    <t>Pretax profit</t>
  </si>
  <si>
    <t>Taxes</t>
  </si>
  <si>
    <t>Net profit</t>
  </si>
  <si>
    <t>MI</t>
  </si>
  <si>
    <t>EPS</t>
  </si>
  <si>
    <t>H116</t>
  </si>
  <si>
    <t>H216</t>
  </si>
  <si>
    <t>H117</t>
  </si>
  <si>
    <t>H217</t>
  </si>
  <si>
    <t>Revenue y/y</t>
  </si>
  <si>
    <t>Gross Margin</t>
  </si>
  <si>
    <t>Operating Margin</t>
  </si>
  <si>
    <t>SG&amp;A y/y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</si>
  <si>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</si>
  <si>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</si>
  <si>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</si>
  <si>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</si>
  <si>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</si>
  <si>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</si>
  <si>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</si>
  <si>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</si>
  <si>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</si>
  <si>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</si>
  <si>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</si>
  <si>
    <t>H122</t>
  </si>
  <si>
    <t>H222</t>
  </si>
  <si>
    <t>November?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</si>
</sst>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0</xdr:rowOff>
    </xdr:from>
    <xdr:to>
      <xdr:col>14</xdr:col>
      <xdr:colOff>30480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3C4C80-AD75-431F-8399-BA361B0AC4A4}"/>
            </a:ext>
          </a:extLst>
        </xdr:cNvPr>
        <xdr:cNvCxnSpPr/>
      </xdr:nvCxnSpPr>
      <xdr:spPr>
        <a:xfrm>
          <a:off x="1047750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</xdr:colOff>
      <xdr:row>0</xdr:row>
      <xdr:rowOff>0</xdr:rowOff>
    </xdr:from>
    <xdr:to>
      <xdr:col>23</xdr:col>
      <xdr:colOff>15240</xdr:colOff>
      <xdr:row>33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7EF711-5F22-4084-987A-F862D11E1C26}"/>
            </a:ext>
          </a:extLst>
        </xdr:cNvPr>
        <xdr:cNvCxnSpPr/>
      </xdr:nvCxnSpPr>
      <xdr:spPr>
        <a:xfrm>
          <a:off x="1472946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3D54-C174-466E-B4E1-B36A3834A9DC}">
  <dimension ref="B2:G9"/>
  <sheetViews>
    <sheetView tabSelected="1" workbookViewId="0">
      <selection activeCell="G4" sqref="G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3.23</v>
      </c>
      <c r="E3" s="4">
        <v>44420</v>
      </c>
      <c r="F3" s="4">
        <f ca="1">TODAY()</f>
        <v>44420</v>
      </c>
      <c r="G3" s="4" t="s">
        <v>55</v>
      </c>
    </row>
    <row r="4" spans="2:7" x14ac:dyDescent="0.3">
      <c r="C4" t="s">
        <v>2</v>
      </c>
      <c r="D4" s="6">
        <v>59.5</v>
      </c>
      <c r="E4" s="3" t="s">
        <v>11</v>
      </c>
    </row>
    <row r="5" spans="2:7" x14ac:dyDescent="0.3">
      <c r="C5" t="s">
        <v>3</v>
      </c>
      <c r="D5" s="6">
        <f>D3*D4</f>
        <v>192.185</v>
      </c>
    </row>
    <row r="6" spans="2:7" x14ac:dyDescent="0.3">
      <c r="C6" t="s">
        <v>4</v>
      </c>
      <c r="D6" s="6">
        <f>11.8+0.1</f>
        <v>11.9</v>
      </c>
      <c r="E6" s="3" t="s">
        <v>11</v>
      </c>
    </row>
    <row r="7" spans="2:7" x14ac:dyDescent="0.3">
      <c r="C7" t="s">
        <v>5</v>
      </c>
      <c r="D7" s="6">
        <v>4.7</v>
      </c>
      <c r="E7" s="3" t="s">
        <v>11</v>
      </c>
    </row>
    <row r="8" spans="2:7" x14ac:dyDescent="0.3">
      <c r="C8" t="s">
        <v>6</v>
      </c>
      <c r="D8" s="6">
        <f>D6-D7</f>
        <v>7.2</v>
      </c>
    </row>
    <row r="9" spans="2:7" x14ac:dyDescent="0.3">
      <c r="C9" t="s">
        <v>7</v>
      </c>
      <c r="D9" s="6">
        <f>D5-D8</f>
        <v>184.98500000000001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779C-3287-4337-B836-40F178F9E713}">
  <dimension ref="B1:EI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4" sqref="AG4"/>
    </sheetView>
  </sheetViews>
  <sheetFormatPr defaultRowHeight="14.4" x14ac:dyDescent="0.3"/>
  <cols>
    <col min="2" max="2" width="16.77734375" bestFit="1" customWidth="1"/>
    <col min="3" max="16" width="10.5546875" customWidth="1"/>
    <col min="35" max="35" width="11.88671875" bestFit="1" customWidth="1"/>
    <col min="36" max="36" width="11" bestFit="1" customWidth="1"/>
  </cols>
  <sheetData>
    <row r="1" spans="2:139" x14ac:dyDescent="0.3">
      <c r="C1" s="2">
        <v>42277</v>
      </c>
      <c r="D1" s="2">
        <v>42460</v>
      </c>
      <c r="E1" s="2">
        <v>42643</v>
      </c>
      <c r="F1" s="2">
        <v>42825</v>
      </c>
      <c r="G1" s="2">
        <v>43008</v>
      </c>
      <c r="H1" s="2">
        <v>43190</v>
      </c>
      <c r="I1" s="2">
        <v>43373</v>
      </c>
      <c r="J1" s="2">
        <v>43555</v>
      </c>
      <c r="K1" s="2">
        <v>43738</v>
      </c>
      <c r="L1" s="2">
        <v>43921</v>
      </c>
      <c r="M1" s="2">
        <v>44104</v>
      </c>
      <c r="N1" s="2">
        <v>44286</v>
      </c>
      <c r="O1" s="2">
        <v>44469</v>
      </c>
      <c r="P1" s="2">
        <v>44651</v>
      </c>
    </row>
    <row r="2" spans="2:139" x14ac:dyDescent="0.3">
      <c r="C2" s="7" t="s">
        <v>34</v>
      </c>
      <c r="D2" s="7" t="s">
        <v>35</v>
      </c>
      <c r="E2" s="7" t="s">
        <v>36</v>
      </c>
      <c r="F2" s="7" t="s">
        <v>37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11</v>
      </c>
      <c r="N2" s="7" t="s">
        <v>19</v>
      </c>
      <c r="O2" s="7" t="s">
        <v>53</v>
      </c>
      <c r="P2" s="7" t="s">
        <v>54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</row>
    <row r="3" spans="2:139" s="1" customFormat="1" x14ac:dyDescent="0.3">
      <c r="B3" s="1" t="s">
        <v>12</v>
      </c>
      <c r="C3" s="9">
        <v>67.8</v>
      </c>
      <c r="D3" s="9">
        <f>R3-C3</f>
        <v>88.100000000000009</v>
      </c>
      <c r="E3" s="9">
        <v>74.5</v>
      </c>
      <c r="F3" s="9">
        <f>S3-E3</f>
        <v>93.6</v>
      </c>
      <c r="G3" s="9">
        <v>74.599999999999994</v>
      </c>
      <c r="H3" s="9">
        <f>T3-G3</f>
        <v>95.1</v>
      </c>
      <c r="I3" s="9">
        <v>68.3</v>
      </c>
      <c r="J3" s="9">
        <f>U3-I3</f>
        <v>98.000000000000014</v>
      </c>
      <c r="K3" s="9">
        <v>68.900000000000006</v>
      </c>
      <c r="L3" s="9">
        <f>V3-K3</f>
        <v>80.400000000000006</v>
      </c>
      <c r="M3" s="9">
        <v>48.9</v>
      </c>
      <c r="N3" s="9">
        <f>W3-M3</f>
        <v>66.099999999999994</v>
      </c>
      <c r="O3" s="9">
        <f>M3*1.32</f>
        <v>64.548000000000002</v>
      </c>
      <c r="P3" s="9">
        <f>N3*1.23</f>
        <v>81.302999999999997</v>
      </c>
      <c r="R3" s="9">
        <v>155.9</v>
      </c>
      <c r="S3" s="9">
        <v>168.1</v>
      </c>
      <c r="T3" s="9">
        <v>169.7</v>
      </c>
      <c r="U3" s="9">
        <v>166.3</v>
      </c>
      <c r="V3" s="9">
        <v>149.30000000000001</v>
      </c>
      <c r="W3" s="9">
        <v>115</v>
      </c>
      <c r="X3" s="9">
        <f>SUM(O3:P3)</f>
        <v>145.851</v>
      </c>
      <c r="Y3" s="9">
        <f>X3*1.13</f>
        <v>164.81162999999998</v>
      </c>
      <c r="Z3" s="9">
        <f>Y3*1.08</f>
        <v>177.99656039999999</v>
      </c>
      <c r="AA3" s="9">
        <f>Z3*1.05</f>
        <v>186.89638841999999</v>
      </c>
      <c r="AB3" s="9">
        <f>AA3*1.04</f>
        <v>194.37224395679999</v>
      </c>
      <c r="AC3" s="9">
        <f>AB3*1.03</f>
        <v>200.20341127550401</v>
      </c>
      <c r="AD3" s="9">
        <f>AC3*1.03</f>
        <v>206.20951361376913</v>
      </c>
      <c r="AE3" s="9">
        <f>AD3*1.02</f>
        <v>210.33370388604453</v>
      </c>
      <c r="AF3" s="9">
        <f t="shared" ref="AF3:AG3" si="0">AE3*1.02</f>
        <v>214.54037796376542</v>
      </c>
      <c r="AG3" s="9">
        <f t="shared" si="0"/>
        <v>218.83118552304074</v>
      </c>
    </row>
    <row r="4" spans="2:139" x14ac:dyDescent="0.3">
      <c r="B4" t="s">
        <v>20</v>
      </c>
      <c r="C4" s="6">
        <v>26.1</v>
      </c>
      <c r="D4" s="10">
        <f>R4-C4</f>
        <v>33.199999999999996</v>
      </c>
      <c r="E4" s="6">
        <v>30.5</v>
      </c>
      <c r="F4" s="10">
        <f>S4-E4</f>
        <v>34</v>
      </c>
      <c r="G4" s="6">
        <v>28.7</v>
      </c>
      <c r="H4" s="10">
        <f>T4-G4</f>
        <v>33.299999999999997</v>
      </c>
      <c r="I4" s="6">
        <v>26.3</v>
      </c>
      <c r="J4" s="10">
        <f>U4-I4</f>
        <v>37.700000000000003</v>
      </c>
      <c r="K4" s="6">
        <v>28</v>
      </c>
      <c r="L4" s="10">
        <f>V4-K4</f>
        <v>30.200000000000003</v>
      </c>
      <c r="M4" s="6">
        <v>20</v>
      </c>
      <c r="N4" s="10">
        <f>W4-M4</f>
        <v>21.9</v>
      </c>
      <c r="O4" s="6">
        <f>O3-O5</f>
        <v>25.819200000000002</v>
      </c>
      <c r="P4" s="6">
        <f>P3-P5</f>
        <v>28.456049999999998</v>
      </c>
      <c r="R4" s="6">
        <v>59.3</v>
      </c>
      <c r="S4" s="6">
        <v>64.5</v>
      </c>
      <c r="T4" s="6">
        <v>62</v>
      </c>
      <c r="U4" s="6">
        <v>64</v>
      </c>
      <c r="V4" s="6">
        <v>58.2</v>
      </c>
      <c r="W4" s="10">
        <v>41.9</v>
      </c>
      <c r="X4" s="10">
        <f>SUM(O4:P4)</f>
        <v>54.27525</v>
      </c>
      <c r="Y4" s="6">
        <f t="shared" ref="Y4:AG4" si="1">Y3-Y5</f>
        <v>60.980303099999986</v>
      </c>
      <c r="Z4" s="6">
        <f t="shared" si="1"/>
        <v>65.858727348000002</v>
      </c>
      <c r="AA4" s="6">
        <f t="shared" si="1"/>
        <v>69.151663715399991</v>
      </c>
      <c r="AB4" s="6">
        <f t="shared" si="1"/>
        <v>71.917730264016001</v>
      </c>
      <c r="AC4" s="6">
        <f t="shared" si="1"/>
        <v>74.075262171936487</v>
      </c>
      <c r="AD4" s="6">
        <f t="shared" si="1"/>
        <v>76.297520037094586</v>
      </c>
      <c r="AE4" s="6">
        <f t="shared" si="1"/>
        <v>77.823470437836477</v>
      </c>
      <c r="AF4" s="6">
        <f t="shared" si="1"/>
        <v>79.379939846593203</v>
      </c>
      <c r="AG4" s="6">
        <f t="shared" si="1"/>
        <v>80.967538643525074</v>
      </c>
    </row>
    <row r="5" spans="2:139" s="1" customFormat="1" x14ac:dyDescent="0.3">
      <c r="B5" s="1" t="s">
        <v>21</v>
      </c>
      <c r="C5" s="9">
        <f t="shared" ref="C5:N5" si="2">C3-C4</f>
        <v>41.699999999999996</v>
      </c>
      <c r="D5" s="9">
        <f t="shared" si="2"/>
        <v>54.900000000000013</v>
      </c>
      <c r="E5" s="9">
        <f t="shared" si="2"/>
        <v>44</v>
      </c>
      <c r="F5" s="9">
        <f t="shared" si="2"/>
        <v>59.599999999999994</v>
      </c>
      <c r="G5" s="9">
        <f t="shared" si="2"/>
        <v>45.899999999999991</v>
      </c>
      <c r="H5" s="9">
        <f t="shared" si="2"/>
        <v>61.8</v>
      </c>
      <c r="I5" s="9">
        <f t="shared" si="2"/>
        <v>42</v>
      </c>
      <c r="J5" s="9">
        <f t="shared" si="2"/>
        <v>60.300000000000011</v>
      </c>
      <c r="K5" s="9">
        <f t="shared" si="2"/>
        <v>40.900000000000006</v>
      </c>
      <c r="L5" s="9">
        <f t="shared" si="2"/>
        <v>50.2</v>
      </c>
      <c r="M5" s="9">
        <f t="shared" si="2"/>
        <v>28.9</v>
      </c>
      <c r="N5" s="9">
        <f t="shared" si="2"/>
        <v>44.199999999999996</v>
      </c>
      <c r="O5" s="9">
        <f>O3*0.6</f>
        <v>38.7288</v>
      </c>
      <c r="P5" s="9">
        <f>P3*0.65</f>
        <v>52.84695</v>
      </c>
      <c r="R5" s="9">
        <f t="shared" ref="R5:W5" si="3">R3-R4</f>
        <v>96.600000000000009</v>
      </c>
      <c r="S5" s="9">
        <f t="shared" si="3"/>
        <v>103.6</v>
      </c>
      <c r="T5" s="9">
        <f t="shared" si="3"/>
        <v>107.69999999999999</v>
      </c>
      <c r="U5" s="9">
        <f t="shared" si="3"/>
        <v>102.30000000000001</v>
      </c>
      <c r="V5" s="9">
        <f t="shared" si="3"/>
        <v>91.100000000000009</v>
      </c>
      <c r="W5" s="9">
        <f t="shared" si="3"/>
        <v>73.099999999999994</v>
      </c>
      <c r="X5" s="9">
        <f>X3*0.63</f>
        <v>91.886129999999994</v>
      </c>
      <c r="Y5" s="9">
        <f t="shared" ref="Y5:AG5" si="4">Y3*0.63</f>
        <v>103.83132689999999</v>
      </c>
      <c r="Z5" s="9">
        <f t="shared" si="4"/>
        <v>112.13783305199999</v>
      </c>
      <c r="AA5" s="9">
        <f t="shared" si="4"/>
        <v>117.7447247046</v>
      </c>
      <c r="AB5" s="9">
        <f t="shared" si="4"/>
        <v>122.45451369278399</v>
      </c>
      <c r="AC5" s="9">
        <f t="shared" si="4"/>
        <v>126.12814910356752</v>
      </c>
      <c r="AD5" s="9">
        <f t="shared" si="4"/>
        <v>129.91199357667455</v>
      </c>
      <c r="AE5" s="9">
        <f t="shared" si="4"/>
        <v>132.51023344820806</v>
      </c>
      <c r="AF5" s="9">
        <f t="shared" si="4"/>
        <v>135.16043811717222</v>
      </c>
      <c r="AG5" s="9">
        <f t="shared" si="4"/>
        <v>137.86364687951567</v>
      </c>
    </row>
    <row r="6" spans="2:139" x14ac:dyDescent="0.3">
      <c r="B6" t="s">
        <v>23</v>
      </c>
      <c r="C6" s="6">
        <f>42.1+0.9</f>
        <v>43</v>
      </c>
      <c r="D6" s="10">
        <f>R6-C6</f>
        <v>49.2</v>
      </c>
      <c r="E6" s="6">
        <v>44.9</v>
      </c>
      <c r="F6" s="10">
        <f>S6-E6</f>
        <v>52.1</v>
      </c>
      <c r="G6" s="6">
        <v>46.8</v>
      </c>
      <c r="H6" s="10">
        <f>T6-G6</f>
        <v>54.7</v>
      </c>
      <c r="I6" s="6">
        <v>50.4</v>
      </c>
      <c r="J6" s="10">
        <f>U6-I6</f>
        <v>57.000000000000007</v>
      </c>
      <c r="K6" s="6">
        <v>49.2</v>
      </c>
      <c r="L6" s="10">
        <f>V6-K6</f>
        <v>53.899999999999991</v>
      </c>
      <c r="M6" s="6">
        <v>33.799999999999997</v>
      </c>
      <c r="N6" s="10">
        <f>W6-M6</f>
        <v>37.799999999999997</v>
      </c>
      <c r="O6" s="6">
        <f>M6*1.2</f>
        <v>40.559999999999995</v>
      </c>
      <c r="P6" s="6">
        <f>N6*1.17</f>
        <v>44.225999999999992</v>
      </c>
      <c r="R6" s="6">
        <v>92.2</v>
      </c>
      <c r="S6" s="6">
        <v>97</v>
      </c>
      <c r="T6" s="6">
        <v>101.5</v>
      </c>
      <c r="U6" s="6">
        <v>107.4</v>
      </c>
      <c r="V6" s="6">
        <v>103.1</v>
      </c>
      <c r="W6" s="10">
        <v>71.599999999999994</v>
      </c>
      <c r="X6" s="10">
        <f>SUM(O6:P6)</f>
        <v>84.785999999999987</v>
      </c>
      <c r="Y6" s="6">
        <f>X6*1.06</f>
        <v>89.873159999999984</v>
      </c>
      <c r="Z6" s="6">
        <f>Y6*1.05</f>
        <v>94.366817999999981</v>
      </c>
      <c r="AA6" s="6">
        <f>Z6*1.05</f>
        <v>99.085158899999982</v>
      </c>
      <c r="AB6" s="6">
        <f>AA6*1.03</f>
        <v>102.05771366699999</v>
      </c>
      <c r="AC6" s="6">
        <f>AB6*1.02</f>
        <v>104.09886794033999</v>
      </c>
      <c r="AD6" s="6">
        <f t="shared" ref="AD6:AG6" si="5">AC6*1.02</f>
        <v>106.18084529914678</v>
      </c>
      <c r="AE6" s="6">
        <f t="shared" si="5"/>
        <v>108.30446220512972</v>
      </c>
      <c r="AF6" s="6">
        <f t="shared" si="5"/>
        <v>110.47055144923232</v>
      </c>
      <c r="AG6" s="6">
        <f t="shared" si="5"/>
        <v>112.67996247821696</v>
      </c>
    </row>
    <row r="7" spans="2:139" x14ac:dyDescent="0.3">
      <c r="B7" t="s">
        <v>22</v>
      </c>
      <c r="C7" s="6">
        <v>0</v>
      </c>
      <c r="D7" s="10">
        <f>R7-C7</f>
        <v>0</v>
      </c>
      <c r="E7" s="6">
        <v>0</v>
      </c>
      <c r="F7" s="10">
        <f>S7-E7</f>
        <v>0</v>
      </c>
      <c r="G7" s="6">
        <v>0</v>
      </c>
      <c r="H7" s="10">
        <f>T7-G7</f>
        <v>0</v>
      </c>
      <c r="I7" s="6">
        <v>0</v>
      </c>
      <c r="J7" s="10">
        <f>U7-I7</f>
        <v>0.8</v>
      </c>
      <c r="K7" s="6">
        <v>0</v>
      </c>
      <c r="L7" s="10">
        <f>V7-K7</f>
        <v>32</v>
      </c>
      <c r="M7" s="6">
        <v>0</v>
      </c>
      <c r="N7" s="10">
        <f>W7-M7</f>
        <v>6.3</v>
      </c>
      <c r="O7" s="6">
        <v>0</v>
      </c>
      <c r="P7" s="6">
        <v>5</v>
      </c>
      <c r="R7" s="6">
        <v>0</v>
      </c>
      <c r="S7" s="6">
        <v>0</v>
      </c>
      <c r="T7" s="6">
        <v>0</v>
      </c>
      <c r="U7" s="6">
        <v>0.8</v>
      </c>
      <c r="V7" s="6">
        <f>7.1+24.9</f>
        <v>32</v>
      </c>
      <c r="W7" s="10">
        <f>0.6+5.7</f>
        <v>6.3</v>
      </c>
      <c r="X7" s="10">
        <f>SUM(O7:P7)</f>
        <v>5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2:139" x14ac:dyDescent="0.3">
      <c r="B8" t="s">
        <v>24</v>
      </c>
      <c r="C8" s="6">
        <f>-1.1-0.2</f>
        <v>-1.3</v>
      </c>
      <c r="D8" s="10">
        <f>R8-C8</f>
        <v>-0.39999999999999991</v>
      </c>
      <c r="E8" s="6">
        <v>-0.2</v>
      </c>
      <c r="F8" s="10">
        <f>S8-E8</f>
        <v>-0.3</v>
      </c>
      <c r="G8" s="6">
        <v>-0.2</v>
      </c>
      <c r="H8" s="10">
        <f>T8-G8</f>
        <v>-0.3</v>
      </c>
      <c r="I8" s="6">
        <v>-0.2</v>
      </c>
      <c r="J8" s="10">
        <f>U8-I8</f>
        <v>-0.7</v>
      </c>
      <c r="K8" s="6">
        <v>-0.4</v>
      </c>
      <c r="L8" s="10">
        <f>V8-K8</f>
        <v>-0.70000000000000007</v>
      </c>
      <c r="M8" s="6">
        <v>-4.7</v>
      </c>
      <c r="N8" s="10">
        <f>W8-M8</f>
        <v>-9</v>
      </c>
      <c r="O8" s="6">
        <v>-2</v>
      </c>
      <c r="P8" s="6">
        <v>-1</v>
      </c>
      <c r="R8" s="6">
        <v>-1.7</v>
      </c>
      <c r="S8" s="6">
        <v>-0.5</v>
      </c>
      <c r="T8" s="6">
        <v>-0.5</v>
      </c>
      <c r="U8" s="6">
        <v>-0.9</v>
      </c>
      <c r="V8" s="6">
        <v>-1.1000000000000001</v>
      </c>
      <c r="W8" s="10">
        <f>-6-4-3.7</f>
        <v>-13.7</v>
      </c>
      <c r="X8" s="10">
        <f>SUM(O8:P8)</f>
        <v>-3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2:139" s="1" customFormat="1" x14ac:dyDescent="0.3">
      <c r="B9" s="1" t="s">
        <v>25</v>
      </c>
      <c r="C9" s="9">
        <f t="shared" ref="C9:P9" si="6">C5-C6-C7-C8</f>
        <v>-4.2188474935755949E-15</v>
      </c>
      <c r="D9" s="9">
        <f t="shared" si="6"/>
        <v>6.1000000000000103</v>
      </c>
      <c r="E9" s="9">
        <f t="shared" si="6"/>
        <v>-0.69999999999999862</v>
      </c>
      <c r="F9" s="9">
        <f t="shared" si="6"/>
        <v>7.7999999999999927</v>
      </c>
      <c r="G9" s="9">
        <f t="shared" si="6"/>
        <v>-0.70000000000000573</v>
      </c>
      <c r="H9" s="9">
        <f t="shared" si="6"/>
        <v>7.3999999999999941</v>
      </c>
      <c r="I9" s="9">
        <f t="shared" si="6"/>
        <v>-8.1999999999999993</v>
      </c>
      <c r="J9" s="9">
        <f t="shared" si="6"/>
        <v>3.2000000000000046</v>
      </c>
      <c r="K9" s="9">
        <f t="shared" si="6"/>
        <v>-7.8999999999999968</v>
      </c>
      <c r="L9" s="9">
        <f t="shared" si="6"/>
        <v>-34.999999999999986</v>
      </c>
      <c r="M9" s="9">
        <f t="shared" si="6"/>
        <v>-0.1999999999999984</v>
      </c>
      <c r="N9" s="9">
        <f t="shared" si="6"/>
        <v>9.0999999999999979</v>
      </c>
      <c r="O9" s="9">
        <f t="shared" si="6"/>
        <v>0.1688000000000045</v>
      </c>
      <c r="P9" s="9">
        <f t="shared" si="6"/>
        <v>4.6209500000000077</v>
      </c>
      <c r="R9" s="9">
        <f t="shared" ref="R9:X9" si="7">R5-R6-R7-R8</f>
        <v>6.1000000000000059</v>
      </c>
      <c r="S9" s="9">
        <f t="shared" si="7"/>
        <v>7.0999999999999943</v>
      </c>
      <c r="T9" s="9">
        <f t="shared" si="7"/>
        <v>6.6999999999999886</v>
      </c>
      <c r="U9" s="9">
        <f t="shared" si="7"/>
        <v>-4.9999999999999938</v>
      </c>
      <c r="V9" s="9">
        <f t="shared" si="7"/>
        <v>-42.899999999999984</v>
      </c>
      <c r="W9" s="9">
        <f t="shared" si="7"/>
        <v>8.8999999999999986</v>
      </c>
      <c r="X9" s="9">
        <f t="shared" si="7"/>
        <v>5.1001300000000072</v>
      </c>
      <c r="Y9" s="9">
        <f t="shared" ref="Y9:AG9" si="8">Y5-Y6-Y7-Y8</f>
        <v>13.958166900000009</v>
      </c>
      <c r="Z9" s="9">
        <f t="shared" si="8"/>
        <v>17.77101505200001</v>
      </c>
      <c r="AA9" s="9">
        <f t="shared" si="8"/>
        <v>18.659565804600021</v>
      </c>
      <c r="AB9" s="9">
        <f t="shared" si="8"/>
        <v>20.396800025784003</v>
      </c>
      <c r="AC9" s="9">
        <f t="shared" si="8"/>
        <v>22.029281163227537</v>
      </c>
      <c r="AD9" s="9">
        <f t="shared" si="8"/>
        <v>23.731148277527765</v>
      </c>
      <c r="AE9" s="9">
        <f t="shared" si="8"/>
        <v>24.205771243078331</v>
      </c>
      <c r="AF9" s="9">
        <f t="shared" si="8"/>
        <v>24.689886667939902</v>
      </c>
      <c r="AG9" s="9">
        <f t="shared" si="8"/>
        <v>25.183684401298706</v>
      </c>
    </row>
    <row r="10" spans="2:139" x14ac:dyDescent="0.3">
      <c r="B10" t="s">
        <v>26</v>
      </c>
      <c r="C10" s="6">
        <v>-0.1</v>
      </c>
      <c r="D10" s="10">
        <f>R10-C10</f>
        <v>-0.1</v>
      </c>
      <c r="E10" s="6">
        <v>-0.1</v>
      </c>
      <c r="F10" s="10">
        <f>S10-E10</f>
        <v>0</v>
      </c>
      <c r="G10" s="6">
        <v>-0.1</v>
      </c>
      <c r="H10" s="10">
        <f>T10-G10</f>
        <v>0</v>
      </c>
      <c r="I10" s="6">
        <v>0</v>
      </c>
      <c r="J10" s="10">
        <f>U10-I10</f>
        <v>-0.1</v>
      </c>
      <c r="K10" s="6">
        <v>0</v>
      </c>
      <c r="L10" s="10">
        <f>V10-K10</f>
        <v>-0.1</v>
      </c>
      <c r="M10" s="6">
        <v>0</v>
      </c>
      <c r="N10" s="10">
        <f>W10-M10</f>
        <v>0.1</v>
      </c>
      <c r="O10" s="6">
        <v>0</v>
      </c>
      <c r="P10" s="6">
        <v>0</v>
      </c>
      <c r="R10" s="6">
        <v>-0.2</v>
      </c>
      <c r="S10" s="6">
        <v>-0.1</v>
      </c>
      <c r="T10" s="6">
        <v>-0.1</v>
      </c>
      <c r="U10" s="6">
        <v>-0.1</v>
      </c>
      <c r="V10" s="6">
        <v>-0.1</v>
      </c>
      <c r="W10" s="10">
        <v>0.1</v>
      </c>
      <c r="X10" s="10">
        <f>SUM(O10:P10)</f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2:139" x14ac:dyDescent="0.3">
      <c r="B11" t="s">
        <v>27</v>
      </c>
      <c r="C11" s="6">
        <v>0</v>
      </c>
      <c r="D11" s="10">
        <f>R11-C11</f>
        <v>0</v>
      </c>
      <c r="E11" s="6">
        <v>-0.1</v>
      </c>
      <c r="F11" s="10">
        <f>S11-E11</f>
        <v>-0.19999999999999998</v>
      </c>
      <c r="G11" s="6">
        <v>0</v>
      </c>
      <c r="H11" s="10">
        <f>T11-G11</f>
        <v>-0.1</v>
      </c>
      <c r="I11" s="6">
        <v>0</v>
      </c>
      <c r="J11" s="10">
        <f>U11-I11</f>
        <v>-0.1</v>
      </c>
      <c r="K11" s="6">
        <v>0</v>
      </c>
      <c r="L11" s="10">
        <f>V11-K11</f>
        <v>-0.1</v>
      </c>
      <c r="M11" s="6">
        <v>0</v>
      </c>
      <c r="N11" s="10">
        <f>W11-M11</f>
        <v>0</v>
      </c>
      <c r="O11" s="6">
        <v>0</v>
      </c>
      <c r="P11" s="6">
        <v>0</v>
      </c>
      <c r="R11" s="6">
        <v>0</v>
      </c>
      <c r="S11" s="6">
        <v>-0.3</v>
      </c>
      <c r="T11" s="6">
        <v>-0.1</v>
      </c>
      <c r="U11" s="6">
        <v>-0.1</v>
      </c>
      <c r="V11" s="6">
        <v>-0.1</v>
      </c>
      <c r="W11" s="10">
        <v>0</v>
      </c>
      <c r="X11" s="10">
        <f>SUM(O11:P11)</f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2:139" x14ac:dyDescent="0.3">
      <c r="B12" t="s">
        <v>28</v>
      </c>
      <c r="C12" s="6">
        <v>0</v>
      </c>
      <c r="D12" s="10">
        <f>R12-C12</f>
        <v>0.1</v>
      </c>
      <c r="E12" s="6">
        <v>0</v>
      </c>
      <c r="F12" s="10">
        <f>S12-E12</f>
        <v>0</v>
      </c>
      <c r="G12" s="6">
        <v>0</v>
      </c>
      <c r="H12" s="10">
        <f>T12-G12</f>
        <v>0.1</v>
      </c>
      <c r="I12" s="6">
        <v>0.1</v>
      </c>
      <c r="J12" s="10">
        <f>U12-I12</f>
        <v>0.19999999999999998</v>
      </c>
      <c r="K12" s="6">
        <v>2.2999999999999998</v>
      </c>
      <c r="L12" s="10">
        <f>V12-K12</f>
        <v>2.7</v>
      </c>
      <c r="M12" s="6">
        <v>2.1</v>
      </c>
      <c r="N12" s="10">
        <f>W12-M12</f>
        <v>2.1</v>
      </c>
      <c r="O12" s="6">
        <v>2</v>
      </c>
      <c r="P12" s="6">
        <v>2</v>
      </c>
      <c r="R12" s="6">
        <v>0.1</v>
      </c>
      <c r="S12" s="6">
        <v>0</v>
      </c>
      <c r="T12" s="6">
        <v>0.1</v>
      </c>
      <c r="U12" s="6">
        <v>0.3</v>
      </c>
      <c r="V12" s="6">
        <v>5</v>
      </c>
      <c r="W12" s="10">
        <v>4.2</v>
      </c>
      <c r="X12" s="10">
        <f>SUM(O12:P12)</f>
        <v>4</v>
      </c>
      <c r="Y12" s="6">
        <f t="shared" ref="Y12:AG12" si="9">X12*0.8</f>
        <v>3.2</v>
      </c>
      <c r="Z12" s="6">
        <f t="shared" si="9"/>
        <v>2.5600000000000005</v>
      </c>
      <c r="AA12" s="6">
        <f t="shared" si="9"/>
        <v>2.0480000000000005</v>
      </c>
      <c r="AB12" s="6">
        <f t="shared" si="9"/>
        <v>1.6384000000000005</v>
      </c>
      <c r="AC12" s="6">
        <f t="shared" si="9"/>
        <v>1.3107200000000006</v>
      </c>
      <c r="AD12" s="6">
        <f t="shared" si="9"/>
        <v>1.0485760000000004</v>
      </c>
      <c r="AE12" s="6">
        <f t="shared" si="9"/>
        <v>0.83886080000000041</v>
      </c>
      <c r="AF12" s="6">
        <f t="shared" si="9"/>
        <v>0.67108864000000035</v>
      </c>
      <c r="AG12" s="6">
        <f t="shared" si="9"/>
        <v>0.53687091200000026</v>
      </c>
    </row>
    <row r="13" spans="2:139" s="1" customFormat="1" x14ac:dyDescent="0.3">
      <c r="B13" s="1" t="s">
        <v>29</v>
      </c>
      <c r="C13" s="9">
        <f t="shared" ref="C13:P13" si="10">C9-C10-C11-C12</f>
        <v>9.9999999999995787E-2</v>
      </c>
      <c r="D13" s="9">
        <f t="shared" si="10"/>
        <v>6.1000000000000103</v>
      </c>
      <c r="E13" s="9">
        <f t="shared" si="10"/>
        <v>-0.49999999999999867</v>
      </c>
      <c r="F13" s="9">
        <f t="shared" si="10"/>
        <v>7.9999999999999929</v>
      </c>
      <c r="G13" s="9">
        <f t="shared" si="10"/>
        <v>-0.60000000000000575</v>
      </c>
      <c r="H13" s="9">
        <f t="shared" si="10"/>
        <v>7.3999999999999941</v>
      </c>
      <c r="I13" s="9">
        <f t="shared" si="10"/>
        <v>-8.2999999999999989</v>
      </c>
      <c r="J13" s="9">
        <f t="shared" si="10"/>
        <v>3.2000000000000046</v>
      </c>
      <c r="K13" s="9">
        <f t="shared" si="10"/>
        <v>-10.199999999999996</v>
      </c>
      <c r="L13" s="9">
        <f t="shared" si="10"/>
        <v>-37.499999999999986</v>
      </c>
      <c r="M13" s="9">
        <f t="shared" si="10"/>
        <v>-2.2999999999999985</v>
      </c>
      <c r="N13" s="9">
        <f t="shared" si="10"/>
        <v>6.8999999999999986</v>
      </c>
      <c r="O13" s="9">
        <f t="shared" si="10"/>
        <v>-1.8311999999999955</v>
      </c>
      <c r="P13" s="9">
        <f t="shared" si="10"/>
        <v>2.6209500000000077</v>
      </c>
      <c r="R13" s="9">
        <f t="shared" ref="R13:X13" si="11">R9-R10-R11-R12</f>
        <v>6.2000000000000064</v>
      </c>
      <c r="S13" s="9">
        <f t="shared" si="11"/>
        <v>7.4999999999999938</v>
      </c>
      <c r="T13" s="9">
        <f t="shared" si="11"/>
        <v>6.7999999999999883</v>
      </c>
      <c r="U13" s="9">
        <f t="shared" si="11"/>
        <v>-5.0999999999999943</v>
      </c>
      <c r="V13" s="9">
        <f t="shared" si="11"/>
        <v>-47.699999999999982</v>
      </c>
      <c r="W13" s="9">
        <f t="shared" si="11"/>
        <v>4.5999999999999988</v>
      </c>
      <c r="X13" s="9">
        <f t="shared" si="11"/>
        <v>1.1001300000000072</v>
      </c>
      <c r="Y13" s="9">
        <f t="shared" ref="Y13:AG13" si="12">Y9-Y10-Y11-Y12</f>
        <v>10.75816690000001</v>
      </c>
      <c r="Z13" s="9">
        <f t="shared" si="12"/>
        <v>15.211015052000009</v>
      </c>
      <c r="AA13" s="9">
        <f t="shared" si="12"/>
        <v>16.611565804600019</v>
      </c>
      <c r="AB13" s="9">
        <f t="shared" si="12"/>
        <v>18.758400025784002</v>
      </c>
      <c r="AC13" s="9">
        <f t="shared" si="12"/>
        <v>20.718561163227537</v>
      </c>
      <c r="AD13" s="9">
        <f t="shared" si="12"/>
        <v>22.682572277527765</v>
      </c>
      <c r="AE13" s="9">
        <f t="shared" si="12"/>
        <v>23.366910443078332</v>
      </c>
      <c r="AF13" s="9">
        <f t="shared" si="12"/>
        <v>24.018798027939901</v>
      </c>
      <c r="AG13" s="9">
        <f t="shared" si="12"/>
        <v>24.646813489298705</v>
      </c>
    </row>
    <row r="14" spans="2:139" x14ac:dyDescent="0.3">
      <c r="B14" t="s">
        <v>30</v>
      </c>
      <c r="C14" s="6">
        <v>-0.1</v>
      </c>
      <c r="D14" s="10">
        <f>R14-C14</f>
        <v>3.6</v>
      </c>
      <c r="E14" s="6">
        <v>-0.2</v>
      </c>
      <c r="F14" s="10">
        <f>S14-E14</f>
        <v>2.7</v>
      </c>
      <c r="G14" s="6">
        <v>-0.3</v>
      </c>
      <c r="H14" s="10">
        <f>T14-G14</f>
        <v>2.2999999999999998</v>
      </c>
      <c r="I14" s="6">
        <v>-2.9</v>
      </c>
      <c r="J14" s="10">
        <f>U14-I14</f>
        <v>3.1</v>
      </c>
      <c r="K14" s="6">
        <v>-1.1000000000000001</v>
      </c>
      <c r="L14" s="10">
        <f>V14-K14</f>
        <v>0.10000000000000009</v>
      </c>
      <c r="M14" s="6">
        <v>-0.3</v>
      </c>
      <c r="N14" s="10">
        <f>W14-M14</f>
        <v>0.3</v>
      </c>
      <c r="O14" s="6">
        <f>O13*0.02</f>
        <v>-3.6623999999999914E-2</v>
      </c>
      <c r="P14" s="6">
        <f>P13*0.02</f>
        <v>5.2419000000000153E-2</v>
      </c>
      <c r="R14" s="6">
        <v>3.5</v>
      </c>
      <c r="S14" s="6">
        <v>2.5</v>
      </c>
      <c r="T14" s="6">
        <v>2</v>
      </c>
      <c r="U14" s="6">
        <v>0.2</v>
      </c>
      <c r="V14" s="6">
        <v>-1</v>
      </c>
      <c r="W14" s="10">
        <v>0</v>
      </c>
      <c r="X14" s="10">
        <f>SUM(O14:P14)</f>
        <v>1.5795000000000239E-2</v>
      </c>
      <c r="Y14" s="6">
        <f t="shared" ref="Y14:AG14" si="13">Y13*0.3</f>
        <v>3.2274500700000028</v>
      </c>
      <c r="Z14" s="6">
        <f t="shared" si="13"/>
        <v>4.5633045156000023</v>
      </c>
      <c r="AA14" s="6">
        <f t="shared" si="13"/>
        <v>4.9834697413800058</v>
      </c>
      <c r="AB14" s="6">
        <f t="shared" si="13"/>
        <v>5.6275200077352006</v>
      </c>
      <c r="AC14" s="6">
        <f t="shared" si="13"/>
        <v>6.2155683489682607</v>
      </c>
      <c r="AD14" s="6">
        <f t="shared" si="13"/>
        <v>6.8047716832583296</v>
      </c>
      <c r="AE14" s="6">
        <f t="shared" si="13"/>
        <v>7.0100731329234991</v>
      </c>
      <c r="AF14" s="6">
        <f t="shared" si="13"/>
        <v>7.2056394083819697</v>
      </c>
      <c r="AG14" s="6">
        <f t="shared" si="13"/>
        <v>7.3940440467896114</v>
      </c>
    </row>
    <row r="15" spans="2:139" x14ac:dyDescent="0.3">
      <c r="B15" t="s">
        <v>32</v>
      </c>
      <c r="C15" s="6">
        <v>0</v>
      </c>
      <c r="D15" s="10">
        <f>R15-C15</f>
        <v>0</v>
      </c>
      <c r="E15" s="6">
        <v>0</v>
      </c>
      <c r="F15" s="10">
        <f>S15-E15</f>
        <v>-0.3</v>
      </c>
      <c r="G15" s="6">
        <v>-0.7</v>
      </c>
      <c r="H15" s="10">
        <f>T15-G15</f>
        <v>-0.8</v>
      </c>
      <c r="I15" s="6">
        <v>-1.4</v>
      </c>
      <c r="J15" s="10">
        <f>U15-I15</f>
        <v>-1</v>
      </c>
      <c r="K15" s="6">
        <v>-0.5</v>
      </c>
      <c r="L15" s="10">
        <f>V15-K15</f>
        <v>-2.2000000000000002</v>
      </c>
      <c r="M15" s="6">
        <v>-0.3</v>
      </c>
      <c r="N15" s="10">
        <f>W15-M15</f>
        <v>0.5</v>
      </c>
      <c r="O15" s="6">
        <v>0</v>
      </c>
      <c r="P15" s="6">
        <v>0</v>
      </c>
      <c r="R15" s="6">
        <v>0</v>
      </c>
      <c r="S15" s="6">
        <v>-0.3</v>
      </c>
      <c r="T15" s="6">
        <v>-1.5</v>
      </c>
      <c r="U15" s="6">
        <v>-2.4</v>
      </c>
      <c r="V15" s="6">
        <v>-2.7</v>
      </c>
      <c r="W15" s="10">
        <v>0.2</v>
      </c>
      <c r="X15" s="10">
        <f>SUM(O15:P15)</f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2:139" s="1" customFormat="1" x14ac:dyDescent="0.3">
      <c r="B16" s="1" t="s">
        <v>31</v>
      </c>
      <c r="C16" s="9">
        <f t="shared" ref="C16:N16" si="14">C13-C14-C15</f>
        <v>0.19999999999999579</v>
      </c>
      <c r="D16" s="9">
        <f t="shared" si="14"/>
        <v>2.5000000000000102</v>
      </c>
      <c r="E16" s="9">
        <f t="shared" si="14"/>
        <v>-0.29999999999999866</v>
      </c>
      <c r="F16" s="9">
        <f t="shared" si="14"/>
        <v>5.5999999999999925</v>
      </c>
      <c r="G16" s="9">
        <f t="shared" si="14"/>
        <v>0.39999999999999419</v>
      </c>
      <c r="H16" s="9">
        <f t="shared" si="14"/>
        <v>5.8999999999999941</v>
      </c>
      <c r="I16" s="9">
        <f t="shared" si="14"/>
        <v>-3.9999999999999987</v>
      </c>
      <c r="J16" s="9">
        <f t="shared" si="14"/>
        <v>1.1000000000000045</v>
      </c>
      <c r="K16" s="9">
        <f t="shared" si="14"/>
        <v>-8.5999999999999961</v>
      </c>
      <c r="L16" s="9">
        <f t="shared" si="14"/>
        <v>-35.399999999999984</v>
      </c>
      <c r="M16" s="9">
        <f t="shared" si="14"/>
        <v>-1.6999999999999984</v>
      </c>
      <c r="N16" s="9">
        <f t="shared" si="14"/>
        <v>6.0999999999999988</v>
      </c>
      <c r="O16" s="9">
        <f t="shared" ref="O16:P16" si="15">O13-O14-O15</f>
        <v>-1.7945759999999955</v>
      </c>
      <c r="P16" s="9">
        <f t="shared" si="15"/>
        <v>2.5685310000000077</v>
      </c>
      <c r="R16" s="9">
        <f t="shared" ref="R16:X16" si="16">R13-R14-R15</f>
        <v>2.7000000000000064</v>
      </c>
      <c r="S16" s="9">
        <f t="shared" si="16"/>
        <v>5.2999999999999936</v>
      </c>
      <c r="T16" s="9">
        <f t="shared" si="16"/>
        <v>6.2999999999999883</v>
      </c>
      <c r="U16" s="9">
        <f t="shared" si="16"/>
        <v>-2.8999999999999946</v>
      </c>
      <c r="V16" s="9">
        <f t="shared" si="16"/>
        <v>-43.999999999999979</v>
      </c>
      <c r="W16" s="9">
        <f t="shared" si="16"/>
        <v>4.3999999999999986</v>
      </c>
      <c r="X16" s="9">
        <f t="shared" si="16"/>
        <v>1.0843350000000069</v>
      </c>
      <c r="Y16" s="9">
        <f t="shared" ref="Y16:AG16" si="17">Y13-Y14-Y15</f>
        <v>7.5307168300000065</v>
      </c>
      <c r="Z16" s="9">
        <f t="shared" si="17"/>
        <v>10.647710536400007</v>
      </c>
      <c r="AA16" s="9">
        <f t="shared" si="17"/>
        <v>11.628096063220013</v>
      </c>
      <c r="AB16" s="9">
        <f t="shared" si="17"/>
        <v>13.130880018048803</v>
      </c>
      <c r="AC16" s="9">
        <f t="shared" si="17"/>
        <v>14.502992814259276</v>
      </c>
      <c r="AD16" s="9">
        <f t="shared" si="17"/>
        <v>15.877800594269434</v>
      </c>
      <c r="AE16" s="9">
        <f t="shared" si="17"/>
        <v>16.356837310154834</v>
      </c>
      <c r="AF16" s="9">
        <f t="shared" si="17"/>
        <v>16.813158619557932</v>
      </c>
      <c r="AG16" s="9">
        <f t="shared" si="17"/>
        <v>17.252769442509091</v>
      </c>
      <c r="AH16" s="1">
        <f>AG16*(1+$AJ$22)</f>
        <v>17.080241748083999</v>
      </c>
      <c r="AI16" s="1">
        <f t="shared" ref="AI16:CT16" si="18">AH16*(1+$AJ$22)</f>
        <v>16.90943933060316</v>
      </c>
      <c r="AJ16" s="1">
        <f t="shared" si="18"/>
        <v>16.740344937297127</v>
      </c>
      <c r="AK16" s="1">
        <f t="shared" si="18"/>
        <v>16.572941487924155</v>
      </c>
      <c r="AL16" s="1">
        <f t="shared" si="18"/>
        <v>16.407212073044914</v>
      </c>
      <c r="AM16" s="1">
        <f t="shared" si="18"/>
        <v>16.243139952314465</v>
      </c>
      <c r="AN16" s="1">
        <f t="shared" si="18"/>
        <v>16.080708552791322</v>
      </c>
      <c r="AO16" s="1">
        <f t="shared" si="18"/>
        <v>15.919901467263408</v>
      </c>
      <c r="AP16" s="1">
        <f t="shared" si="18"/>
        <v>15.760702452590774</v>
      </c>
      <c r="AQ16" s="1">
        <f t="shared" si="18"/>
        <v>15.603095428064867</v>
      </c>
      <c r="AR16" s="1">
        <f t="shared" si="18"/>
        <v>15.447064473784218</v>
      </c>
      <c r="AS16" s="1">
        <f t="shared" si="18"/>
        <v>15.292593829046377</v>
      </c>
      <c r="AT16" s="1">
        <f t="shared" si="18"/>
        <v>15.139667890755913</v>
      </c>
      <c r="AU16" s="1">
        <f t="shared" si="18"/>
        <v>14.988271211848353</v>
      </c>
      <c r="AV16" s="1">
        <f t="shared" si="18"/>
        <v>14.83838849972987</v>
      </c>
      <c r="AW16" s="1">
        <f t="shared" si="18"/>
        <v>14.690004614732571</v>
      </c>
      <c r="AX16" s="1">
        <f t="shared" si="18"/>
        <v>14.543104568585244</v>
      </c>
      <c r="AY16" s="1">
        <f t="shared" si="18"/>
        <v>14.397673522899392</v>
      </c>
      <c r="AZ16" s="1">
        <f t="shared" si="18"/>
        <v>14.253696787670398</v>
      </c>
      <c r="BA16" s="1">
        <f t="shared" si="18"/>
        <v>14.111159819793693</v>
      </c>
      <c r="BB16" s="1">
        <f t="shared" si="18"/>
        <v>13.970048221595755</v>
      </c>
      <c r="BC16" s="1">
        <f t="shared" si="18"/>
        <v>13.830347739379798</v>
      </c>
      <c r="BD16" s="1">
        <f t="shared" si="18"/>
        <v>13.692044261986</v>
      </c>
      <c r="BE16" s="1">
        <f t="shared" si="18"/>
        <v>13.555123819366139</v>
      </c>
      <c r="BF16" s="1">
        <f t="shared" si="18"/>
        <v>13.419572581172478</v>
      </c>
      <c r="BG16" s="1">
        <f t="shared" si="18"/>
        <v>13.285376855360752</v>
      </c>
      <c r="BH16" s="1">
        <f t="shared" si="18"/>
        <v>13.152523086807145</v>
      </c>
      <c r="BI16" s="1">
        <f t="shared" si="18"/>
        <v>13.020997855939074</v>
      </c>
      <c r="BJ16" s="1">
        <f t="shared" si="18"/>
        <v>12.890787877379683</v>
      </c>
      <c r="BK16" s="1">
        <f t="shared" si="18"/>
        <v>12.761879998605886</v>
      </c>
      <c r="BL16" s="1">
        <f t="shared" si="18"/>
        <v>12.634261198619827</v>
      </c>
      <c r="BM16" s="1">
        <f t="shared" si="18"/>
        <v>12.507918586633629</v>
      </c>
      <c r="BN16" s="1">
        <f t="shared" si="18"/>
        <v>12.382839400767292</v>
      </c>
      <c r="BO16" s="1">
        <f t="shared" si="18"/>
        <v>12.25901100675962</v>
      </c>
      <c r="BP16" s="1">
        <f t="shared" si="18"/>
        <v>12.136420896692023</v>
      </c>
      <c r="BQ16" s="1">
        <f t="shared" si="18"/>
        <v>12.015056687725103</v>
      </c>
      <c r="BR16" s="1">
        <f t="shared" si="18"/>
        <v>11.894906120847851</v>
      </c>
      <c r="BS16" s="1">
        <f t="shared" si="18"/>
        <v>11.775957059639373</v>
      </c>
      <c r="BT16" s="1">
        <f t="shared" si="18"/>
        <v>11.658197489042978</v>
      </c>
      <c r="BU16" s="1">
        <f t="shared" si="18"/>
        <v>11.541615514152548</v>
      </c>
      <c r="BV16" s="1">
        <f t="shared" si="18"/>
        <v>11.426199359011022</v>
      </c>
      <c r="BW16" s="1">
        <f t="shared" si="18"/>
        <v>11.311937365420912</v>
      </c>
      <c r="BX16" s="1">
        <f t="shared" si="18"/>
        <v>11.198817991766703</v>
      </c>
      <c r="BY16" s="1">
        <f t="shared" si="18"/>
        <v>11.086829811849036</v>
      </c>
      <c r="BZ16" s="1">
        <f t="shared" si="18"/>
        <v>10.975961513730546</v>
      </c>
      <c r="CA16" s="1">
        <f t="shared" si="18"/>
        <v>10.866201898593241</v>
      </c>
      <c r="CB16" s="1">
        <f t="shared" si="18"/>
        <v>10.757539879607309</v>
      </c>
      <c r="CC16" s="1">
        <f t="shared" si="18"/>
        <v>10.649964480811237</v>
      </c>
      <c r="CD16" s="1">
        <f t="shared" si="18"/>
        <v>10.543464836003125</v>
      </c>
      <c r="CE16" s="1">
        <f t="shared" si="18"/>
        <v>10.438030187643093</v>
      </c>
      <c r="CF16" s="1">
        <f t="shared" si="18"/>
        <v>10.333649885766663</v>
      </c>
      <c r="CG16" s="1">
        <f t="shared" si="18"/>
        <v>10.230313386908996</v>
      </c>
      <c r="CH16" s="1">
        <f t="shared" si="18"/>
        <v>10.128010253039907</v>
      </c>
      <c r="CI16" s="1">
        <f t="shared" si="18"/>
        <v>10.026730150509508</v>
      </c>
      <c r="CJ16" s="1">
        <f t="shared" si="18"/>
        <v>9.9264628490044124</v>
      </c>
      <c r="CK16" s="1">
        <f t="shared" si="18"/>
        <v>9.8271982205143686</v>
      </c>
      <c r="CL16" s="1">
        <f t="shared" si="18"/>
        <v>9.7289262383092243</v>
      </c>
      <c r="CM16" s="1">
        <f t="shared" si="18"/>
        <v>9.6316369759261313</v>
      </c>
      <c r="CN16" s="1">
        <f t="shared" si="18"/>
        <v>9.53532060616687</v>
      </c>
      <c r="CO16" s="1">
        <f t="shared" si="18"/>
        <v>9.4399674001052016</v>
      </c>
      <c r="CP16" s="1">
        <f t="shared" si="18"/>
        <v>9.3455677261041501</v>
      </c>
      <c r="CQ16" s="1">
        <f t="shared" si="18"/>
        <v>9.2521120488431077</v>
      </c>
      <c r="CR16" s="1">
        <f t="shared" si="18"/>
        <v>9.1595909283546764</v>
      </c>
      <c r="CS16" s="1">
        <f t="shared" si="18"/>
        <v>9.0679950190711303</v>
      </c>
      <c r="CT16" s="1">
        <f t="shared" si="18"/>
        <v>8.9773150688804186</v>
      </c>
      <c r="CU16" s="1">
        <f t="shared" ref="CU16:EI16" si="19">CT16*(1+$AJ$22)</f>
        <v>8.887541918191614</v>
      </c>
      <c r="CV16" s="1">
        <f t="shared" si="19"/>
        <v>8.7986664990096983</v>
      </c>
      <c r="CW16" s="1">
        <f t="shared" si="19"/>
        <v>8.7106798340196008</v>
      </c>
      <c r="CX16" s="1">
        <f t="shared" si="19"/>
        <v>8.6235730356794047</v>
      </c>
      <c r="CY16" s="1">
        <f t="shared" si="19"/>
        <v>8.5373373053226107</v>
      </c>
      <c r="CZ16" s="1">
        <f t="shared" si="19"/>
        <v>8.4519639322693845</v>
      </c>
      <c r="DA16" s="1">
        <f t="shared" si="19"/>
        <v>8.3674442929466899</v>
      </c>
      <c r="DB16" s="1">
        <f t="shared" si="19"/>
        <v>8.2837698500172223</v>
      </c>
      <c r="DC16" s="1">
        <f t="shared" si="19"/>
        <v>8.2009321515170495</v>
      </c>
      <c r="DD16" s="1">
        <f t="shared" si="19"/>
        <v>8.1189228300018783</v>
      </c>
      <c r="DE16" s="1">
        <f t="shared" si="19"/>
        <v>8.0377336017018592</v>
      </c>
      <c r="DF16" s="1">
        <f t="shared" si="19"/>
        <v>7.9573562656848402</v>
      </c>
      <c r="DG16" s="1">
        <f t="shared" si="19"/>
        <v>7.8777827030279921</v>
      </c>
      <c r="DH16" s="1">
        <f t="shared" si="19"/>
        <v>7.7990048759977117</v>
      </c>
      <c r="DI16" s="1">
        <f t="shared" si="19"/>
        <v>7.7210148272377346</v>
      </c>
      <c r="DJ16" s="1">
        <f t="shared" si="19"/>
        <v>7.6438046789653571</v>
      </c>
      <c r="DK16" s="1">
        <f t="shared" si="19"/>
        <v>7.5673666321757036</v>
      </c>
      <c r="DL16" s="1">
        <f t="shared" si="19"/>
        <v>7.4916929658539466</v>
      </c>
      <c r="DM16" s="1">
        <f t="shared" si="19"/>
        <v>7.4167760361954072</v>
      </c>
      <c r="DN16" s="1">
        <f t="shared" si="19"/>
        <v>7.3426082758334532</v>
      </c>
      <c r="DO16" s="1">
        <f t="shared" si="19"/>
        <v>7.2691821930751184</v>
      </c>
      <c r="DP16" s="1">
        <f t="shared" si="19"/>
        <v>7.1964903711443675</v>
      </c>
      <c r="DQ16" s="1">
        <f t="shared" si="19"/>
        <v>7.1245254674329237</v>
      </c>
      <c r="DR16" s="1">
        <f t="shared" si="19"/>
        <v>7.0532802127585947</v>
      </c>
      <c r="DS16" s="1">
        <f t="shared" si="19"/>
        <v>6.982747410631009</v>
      </c>
      <c r="DT16" s="1">
        <f t="shared" si="19"/>
        <v>6.9129199365246992</v>
      </c>
      <c r="DU16" s="1">
        <f t="shared" si="19"/>
        <v>6.843790737159452</v>
      </c>
      <c r="DV16" s="1">
        <f t="shared" si="19"/>
        <v>6.7753528297878578</v>
      </c>
      <c r="DW16" s="1">
        <f t="shared" si="19"/>
        <v>6.7075993014899788</v>
      </c>
      <c r="DX16" s="1">
        <f t="shared" si="19"/>
        <v>6.6405233084750792</v>
      </c>
      <c r="DY16" s="1">
        <f t="shared" si="19"/>
        <v>6.5741180753903281</v>
      </c>
      <c r="DZ16" s="1">
        <f t="shared" si="19"/>
        <v>6.5083768946364247</v>
      </c>
      <c r="EA16" s="1">
        <f t="shared" si="19"/>
        <v>6.4432931256900607</v>
      </c>
      <c r="EB16" s="1">
        <f t="shared" si="19"/>
        <v>6.3788601944331598</v>
      </c>
      <c r="EC16" s="1">
        <f t="shared" si="19"/>
        <v>6.3150715924888283</v>
      </c>
      <c r="ED16" s="1">
        <f t="shared" si="19"/>
        <v>6.2519208765639398</v>
      </c>
      <c r="EE16" s="1">
        <f t="shared" si="19"/>
        <v>6.1894016677983004</v>
      </c>
      <c r="EF16" s="1">
        <f t="shared" si="19"/>
        <v>6.1275076511203173</v>
      </c>
      <c r="EG16" s="1">
        <f t="shared" si="19"/>
        <v>6.0662325746091144</v>
      </c>
      <c r="EH16" s="1">
        <f t="shared" si="19"/>
        <v>6.0055702488630232</v>
      </c>
      <c r="EI16" s="1">
        <f t="shared" si="19"/>
        <v>5.945514546374393</v>
      </c>
    </row>
    <row r="17" spans="2:36" x14ac:dyDescent="0.3">
      <c r="B17" t="s">
        <v>2</v>
      </c>
      <c r="C17" s="6">
        <v>59.5</v>
      </c>
      <c r="D17" s="6">
        <v>59.5</v>
      </c>
      <c r="E17" s="6">
        <v>59.5</v>
      </c>
      <c r="F17" s="6">
        <v>59.5</v>
      </c>
      <c r="G17" s="6">
        <v>59.5</v>
      </c>
      <c r="H17" s="6">
        <v>59.5</v>
      </c>
      <c r="I17" s="6">
        <v>59.5</v>
      </c>
      <c r="J17" s="6">
        <v>59.5</v>
      </c>
      <c r="K17" s="6">
        <v>59.5</v>
      </c>
      <c r="L17" s="6">
        <v>59.5</v>
      </c>
      <c r="M17" s="6">
        <v>59.5</v>
      </c>
      <c r="N17" s="6">
        <v>59.5</v>
      </c>
      <c r="O17" s="6">
        <v>59.5</v>
      </c>
      <c r="P17" s="6">
        <v>59.5</v>
      </c>
      <c r="R17" s="6">
        <v>59.5</v>
      </c>
      <c r="S17" s="6">
        <v>59.5</v>
      </c>
      <c r="T17" s="6">
        <v>59.5</v>
      </c>
      <c r="U17" s="6">
        <v>59.5</v>
      </c>
      <c r="V17" s="6">
        <v>59.5</v>
      </c>
      <c r="W17" s="6">
        <v>59.5</v>
      </c>
      <c r="X17" s="6">
        <v>59.5</v>
      </c>
      <c r="Y17" s="6">
        <v>59.5</v>
      </c>
      <c r="Z17" s="6">
        <v>59.5</v>
      </c>
      <c r="AA17" s="6">
        <v>59.5</v>
      </c>
      <c r="AB17" s="6">
        <v>59.5</v>
      </c>
      <c r="AC17" s="6">
        <v>59.5</v>
      </c>
      <c r="AD17" s="6">
        <v>59.5</v>
      </c>
      <c r="AE17" s="6">
        <v>59.5</v>
      </c>
      <c r="AF17" s="6">
        <v>59.5</v>
      </c>
      <c r="AG17" s="6">
        <v>59.5</v>
      </c>
    </row>
    <row r="18" spans="2:36" s="1" customFormat="1" x14ac:dyDescent="0.3">
      <c r="B18" s="1" t="s">
        <v>33</v>
      </c>
      <c r="C18" s="8">
        <f t="shared" ref="C18:N18" si="20">C16/C17</f>
        <v>3.3613445378150551E-3</v>
      </c>
      <c r="D18" s="8">
        <f t="shared" si="20"/>
        <v>4.2016806722689246E-2</v>
      </c>
      <c r="E18" s="8">
        <f t="shared" si="20"/>
        <v>-5.0420168067226668E-3</v>
      </c>
      <c r="F18" s="8">
        <f t="shared" si="20"/>
        <v>9.4117647058823403E-2</v>
      </c>
      <c r="G18" s="8">
        <f t="shared" si="20"/>
        <v>6.7226890756301545E-3</v>
      </c>
      <c r="H18" s="8">
        <f t="shared" si="20"/>
        <v>9.9159663865546116E-2</v>
      </c>
      <c r="I18" s="8">
        <f t="shared" si="20"/>
        <v>-6.7226890756302504E-2</v>
      </c>
      <c r="J18" s="8">
        <f t="shared" si="20"/>
        <v>1.848739495798327E-2</v>
      </c>
      <c r="K18" s="8">
        <f t="shared" si="20"/>
        <v>-0.14453781512605035</v>
      </c>
      <c r="L18" s="8">
        <f t="shared" si="20"/>
        <v>-0.59495798319327708</v>
      </c>
      <c r="M18" s="8">
        <f t="shared" si="20"/>
        <v>-2.8571428571428546E-2</v>
      </c>
      <c r="N18" s="8">
        <f t="shared" si="20"/>
        <v>0.10252100840336133</v>
      </c>
      <c r="O18" s="8">
        <f t="shared" ref="O18:P18" si="21">O16/O17</f>
        <v>-3.0160941176470512E-2</v>
      </c>
      <c r="P18" s="8">
        <f t="shared" si="21"/>
        <v>4.3168588235294243E-2</v>
      </c>
      <c r="R18" s="8">
        <f t="shared" ref="R18:X18" si="22">R16/R17</f>
        <v>4.5378151260504311E-2</v>
      </c>
      <c r="S18" s="8">
        <f t="shared" si="22"/>
        <v>8.9075630252100732E-2</v>
      </c>
      <c r="T18" s="8">
        <f t="shared" si="22"/>
        <v>0.10588235294117627</v>
      </c>
      <c r="U18" s="8">
        <f t="shared" si="22"/>
        <v>-4.8739495798319238E-2</v>
      </c>
      <c r="V18" s="8">
        <f t="shared" si="22"/>
        <v>-0.73949579831932732</v>
      </c>
      <c r="W18" s="8">
        <f t="shared" si="22"/>
        <v>7.3949579831932746E-2</v>
      </c>
      <c r="X18" s="8">
        <f t="shared" si="22"/>
        <v>1.8224117647058939E-2</v>
      </c>
      <c r="Y18" s="8">
        <f t="shared" ref="Y18:AG18" si="23">Y16/Y17</f>
        <v>0.12656666941176481</v>
      </c>
      <c r="Z18" s="8">
        <f t="shared" si="23"/>
        <v>0.17895311825882365</v>
      </c>
      <c r="AA18" s="8">
        <f t="shared" si="23"/>
        <v>0.19543018593647082</v>
      </c>
      <c r="AB18" s="8">
        <f t="shared" si="23"/>
        <v>0.22068705912687064</v>
      </c>
      <c r="AC18" s="8">
        <f t="shared" si="23"/>
        <v>0.24374777839091219</v>
      </c>
      <c r="AD18" s="8">
        <f t="shared" si="23"/>
        <v>0.26685379150032662</v>
      </c>
      <c r="AE18" s="8">
        <f t="shared" si="23"/>
        <v>0.27490482874209804</v>
      </c>
      <c r="AF18" s="8">
        <f t="shared" si="23"/>
        <v>0.28257409444635179</v>
      </c>
      <c r="AG18" s="8">
        <f t="shared" si="23"/>
        <v>0.28996251163880826</v>
      </c>
    </row>
    <row r="20" spans="2:36" x14ac:dyDescent="0.3">
      <c r="B20" s="1" t="s">
        <v>38</v>
      </c>
      <c r="C20" s="12"/>
      <c r="D20" s="12"/>
      <c r="E20" s="12"/>
      <c r="F20" s="12">
        <f>F3/D3-1</f>
        <v>6.2429057888762518E-2</v>
      </c>
      <c r="G20" s="12">
        <f t="shared" ref="G20:N20" si="24">G3/E3-1</f>
        <v>1.3422818791946067E-3</v>
      </c>
      <c r="H20" s="12">
        <f t="shared" si="24"/>
        <v>1.6025641025640969E-2</v>
      </c>
      <c r="I20" s="12">
        <f t="shared" si="24"/>
        <v>-8.4450402144772063E-2</v>
      </c>
      <c r="J20" s="12">
        <f t="shared" si="24"/>
        <v>3.0494216614090686E-2</v>
      </c>
      <c r="K20" s="12">
        <f t="shared" si="24"/>
        <v>8.7847730600294494E-3</v>
      </c>
      <c r="L20" s="12">
        <f t="shared" si="24"/>
        <v>-0.17959183673469392</v>
      </c>
      <c r="M20" s="12">
        <f t="shared" si="24"/>
        <v>-0.29027576197387528</v>
      </c>
      <c r="N20" s="12">
        <f t="shared" si="24"/>
        <v>-0.1778606965174131</v>
      </c>
      <c r="O20" s="12">
        <f t="shared" ref="O20" si="25">O3/M3-1</f>
        <v>0.32000000000000006</v>
      </c>
      <c r="P20" s="12">
        <f t="shared" ref="P20" si="26">P3/N3-1</f>
        <v>0.22999999999999998</v>
      </c>
      <c r="R20" s="12"/>
      <c r="S20" s="12">
        <f>S3/R3-1</f>
        <v>7.825529185375224E-2</v>
      </c>
      <c r="T20" s="12">
        <f t="shared" ref="T20:AG20" si="27">T3/S3-1</f>
        <v>9.5181439619274055E-3</v>
      </c>
      <c r="U20" s="12">
        <f t="shared" si="27"/>
        <v>-2.0035356511490687E-2</v>
      </c>
      <c r="V20" s="12">
        <f t="shared" si="27"/>
        <v>-0.10222489476849073</v>
      </c>
      <c r="W20" s="12">
        <f t="shared" si="27"/>
        <v>-0.22973878097789691</v>
      </c>
      <c r="X20" s="12">
        <f t="shared" si="27"/>
        <v>0.2682695652173912</v>
      </c>
      <c r="Y20" s="12">
        <f t="shared" si="27"/>
        <v>0.12999999999999989</v>
      </c>
      <c r="Z20" s="12">
        <f t="shared" si="27"/>
        <v>8.0000000000000071E-2</v>
      </c>
      <c r="AA20" s="12">
        <f t="shared" si="27"/>
        <v>5.0000000000000044E-2</v>
      </c>
      <c r="AB20" s="12">
        <f t="shared" si="27"/>
        <v>4.0000000000000036E-2</v>
      </c>
      <c r="AC20" s="12">
        <f t="shared" si="27"/>
        <v>3.0000000000000027E-2</v>
      </c>
      <c r="AD20" s="12">
        <f t="shared" si="27"/>
        <v>3.0000000000000027E-2</v>
      </c>
      <c r="AE20" s="12">
        <f t="shared" si="27"/>
        <v>2.0000000000000018E-2</v>
      </c>
      <c r="AF20" s="12">
        <f t="shared" si="27"/>
        <v>2.0000000000000018E-2</v>
      </c>
      <c r="AG20" s="12">
        <f t="shared" si="27"/>
        <v>2.0000000000000018E-2</v>
      </c>
    </row>
    <row r="21" spans="2:36" x14ac:dyDescent="0.3">
      <c r="B21" s="1" t="s">
        <v>39</v>
      </c>
      <c r="C21" s="12">
        <f t="shared" ref="C21:F21" si="28">C5/C3</f>
        <v>0.61504424778761058</v>
      </c>
      <c r="D21" s="12">
        <f t="shared" si="28"/>
        <v>0.62315550510783213</v>
      </c>
      <c r="E21" s="12">
        <f t="shared" si="28"/>
        <v>0.59060402684563762</v>
      </c>
      <c r="F21" s="12">
        <f t="shared" si="28"/>
        <v>0.63675213675213671</v>
      </c>
      <c r="G21" s="12">
        <f>G5/G3</f>
        <v>0.61528150134048254</v>
      </c>
      <c r="H21" s="12">
        <f t="shared" ref="H21:N21" si="29">H5/H3</f>
        <v>0.64984227129337535</v>
      </c>
      <c r="I21" s="12">
        <f t="shared" si="29"/>
        <v>0.6149341142020498</v>
      </c>
      <c r="J21" s="12">
        <f t="shared" si="29"/>
        <v>0.61530612244897964</v>
      </c>
      <c r="K21" s="12">
        <f t="shared" si="29"/>
        <v>0.59361393323657474</v>
      </c>
      <c r="L21" s="12">
        <f t="shared" si="29"/>
        <v>0.62437810945273631</v>
      </c>
      <c r="M21" s="12">
        <f t="shared" si="29"/>
        <v>0.59100204498977504</v>
      </c>
      <c r="N21" s="12">
        <f t="shared" si="29"/>
        <v>0.66868381240544628</v>
      </c>
      <c r="O21" s="12">
        <f t="shared" ref="O21:P21" si="30">O5/O3</f>
        <v>0.6</v>
      </c>
      <c r="P21" s="12">
        <f t="shared" si="30"/>
        <v>0.65</v>
      </c>
      <c r="R21" s="12">
        <f t="shared" ref="R21:AG21" si="31">R5/R3</f>
        <v>0.61962796664528552</v>
      </c>
      <c r="S21" s="12">
        <f t="shared" si="31"/>
        <v>0.61629982153480067</v>
      </c>
      <c r="T21" s="12">
        <f t="shared" si="31"/>
        <v>0.63464938126104886</v>
      </c>
      <c r="U21" s="12">
        <f t="shared" si="31"/>
        <v>0.61515333734215272</v>
      </c>
      <c r="V21" s="12">
        <f t="shared" si="31"/>
        <v>0.61018084393837912</v>
      </c>
      <c r="W21" s="12">
        <f t="shared" si="31"/>
        <v>0.63565217391304341</v>
      </c>
      <c r="X21" s="12">
        <f t="shared" si="31"/>
        <v>0.63</v>
      </c>
      <c r="Y21" s="12">
        <f t="shared" si="31"/>
        <v>0.63</v>
      </c>
      <c r="Z21" s="12">
        <f t="shared" si="31"/>
        <v>0.63</v>
      </c>
      <c r="AA21" s="12">
        <f t="shared" si="31"/>
        <v>0.63</v>
      </c>
      <c r="AB21" s="12">
        <f t="shared" si="31"/>
        <v>0.63</v>
      </c>
      <c r="AC21" s="12">
        <f t="shared" si="31"/>
        <v>0.63</v>
      </c>
      <c r="AD21" s="12">
        <f t="shared" si="31"/>
        <v>0.63</v>
      </c>
      <c r="AE21" s="12">
        <f t="shared" si="31"/>
        <v>0.63</v>
      </c>
      <c r="AF21" s="12">
        <f t="shared" si="31"/>
        <v>0.63</v>
      </c>
      <c r="AG21" s="12">
        <f t="shared" si="31"/>
        <v>0.63</v>
      </c>
    </row>
    <row r="22" spans="2:36" x14ac:dyDescent="0.3">
      <c r="B22" s="11" t="s">
        <v>40</v>
      </c>
      <c r="C22" s="12">
        <f t="shared" ref="C22:F22" si="32">C9/C3</f>
        <v>-6.2224889285775738E-17</v>
      </c>
      <c r="D22" s="12">
        <f t="shared" si="32"/>
        <v>6.9239500567536999E-2</v>
      </c>
      <c r="E22" s="12">
        <f t="shared" si="32"/>
        <v>-9.395973154362398E-3</v>
      </c>
      <c r="F22" s="12">
        <f t="shared" si="32"/>
        <v>8.3333333333333259E-2</v>
      </c>
      <c r="G22" s="12">
        <f>G9/G3</f>
        <v>-9.3833780160858683E-3</v>
      </c>
      <c r="H22" s="12">
        <f t="shared" ref="H22:N22" si="33">H9/H3</f>
        <v>7.7812828601472081E-2</v>
      </c>
      <c r="I22" s="12">
        <f t="shared" si="33"/>
        <v>-0.12005856515373352</v>
      </c>
      <c r="J22" s="12">
        <f t="shared" si="33"/>
        <v>3.265306122448984E-2</v>
      </c>
      <c r="K22" s="12">
        <f t="shared" si="33"/>
        <v>-0.11465892597968064</v>
      </c>
      <c r="L22" s="12">
        <f t="shared" si="33"/>
        <v>-0.43532338308457691</v>
      </c>
      <c r="M22" s="12">
        <f t="shared" si="33"/>
        <v>-4.0899795501022169E-3</v>
      </c>
      <c r="N22" s="12">
        <f t="shared" si="33"/>
        <v>0.13767019667170952</v>
      </c>
      <c r="O22" s="12">
        <f t="shared" ref="O22:P22" si="34">O9/O3</f>
        <v>2.6151081365805989E-3</v>
      </c>
      <c r="P22" s="12">
        <f t="shared" si="34"/>
        <v>5.6836156107400809E-2</v>
      </c>
      <c r="R22" s="12">
        <f t="shared" ref="R22:AG22" si="35">R9/R3</f>
        <v>3.9127645926876238E-2</v>
      </c>
      <c r="S22" s="12">
        <f t="shared" si="35"/>
        <v>4.2236763831052911E-2</v>
      </c>
      <c r="T22" s="12">
        <f t="shared" si="35"/>
        <v>3.948143783146723E-2</v>
      </c>
      <c r="U22" s="12">
        <f t="shared" si="35"/>
        <v>-3.0066145520144277E-2</v>
      </c>
      <c r="V22" s="12">
        <f t="shared" si="35"/>
        <v>-0.2873409243134627</v>
      </c>
      <c r="W22" s="12">
        <f t="shared" si="35"/>
        <v>7.7391304347826081E-2</v>
      </c>
      <c r="X22" s="12">
        <f t="shared" si="35"/>
        <v>3.4968083866411662E-2</v>
      </c>
      <c r="Y22" s="12">
        <f t="shared" si="35"/>
        <v>8.4691637962685098E-2</v>
      </c>
      <c r="Z22" s="12">
        <f t="shared" si="35"/>
        <v>9.9839092463721621E-2</v>
      </c>
      <c r="AA22" s="12">
        <f t="shared" si="35"/>
        <v>9.9839092463721676E-2</v>
      </c>
      <c r="AB22" s="12">
        <f t="shared" si="35"/>
        <v>0.10493679349772427</v>
      </c>
      <c r="AC22" s="12">
        <f t="shared" si="35"/>
        <v>0.11003449453172699</v>
      </c>
      <c r="AD22" s="12">
        <f t="shared" si="35"/>
        <v>0.11508270332268111</v>
      </c>
      <c r="AE22" s="12">
        <f t="shared" si="35"/>
        <v>0.11508270332268115</v>
      </c>
      <c r="AF22" s="12">
        <f t="shared" si="35"/>
        <v>0.11508270332268117</v>
      </c>
      <c r="AG22" s="12">
        <f t="shared" si="35"/>
        <v>0.1150827033226812</v>
      </c>
      <c r="AI22" t="s">
        <v>43</v>
      </c>
      <c r="AJ22" s="12">
        <v>-0.01</v>
      </c>
    </row>
    <row r="23" spans="2:36" x14ac:dyDescent="0.3">
      <c r="B23" s="11" t="s">
        <v>41</v>
      </c>
      <c r="C23" s="12"/>
      <c r="D23" s="12"/>
      <c r="E23" s="12"/>
      <c r="F23" s="12">
        <f t="shared" ref="F23:N23" si="36">F6/D6-1</f>
        <v>5.8943089430894213E-2</v>
      </c>
      <c r="G23" s="12">
        <f t="shared" si="36"/>
        <v>4.231625835189301E-2</v>
      </c>
      <c r="H23" s="12">
        <f t="shared" si="36"/>
        <v>4.9904030710172798E-2</v>
      </c>
      <c r="I23" s="12">
        <f t="shared" si="36"/>
        <v>7.6923076923076872E-2</v>
      </c>
      <c r="J23" s="12">
        <f t="shared" si="36"/>
        <v>4.2047531992687404E-2</v>
      </c>
      <c r="K23" s="12">
        <f t="shared" si="36"/>
        <v>-2.3809523809523725E-2</v>
      </c>
      <c r="L23" s="12">
        <f t="shared" si="36"/>
        <v>-5.4385964912280982E-2</v>
      </c>
      <c r="M23" s="12">
        <f t="shared" si="36"/>
        <v>-0.31300813008130091</v>
      </c>
      <c r="N23" s="12">
        <f t="shared" si="36"/>
        <v>-0.29870129870129869</v>
      </c>
      <c r="O23" s="12">
        <f t="shared" ref="O23" si="37">O6/M6-1</f>
        <v>0.19999999999999996</v>
      </c>
      <c r="P23" s="12">
        <f t="shared" ref="P23" si="38">P6/N6-1</f>
        <v>0.16999999999999993</v>
      </c>
      <c r="R23" s="12"/>
      <c r="S23" s="12">
        <f t="shared" ref="S23:AG23" si="39">S6/R6-1</f>
        <v>5.2060737527114931E-2</v>
      </c>
      <c r="T23" s="12">
        <f t="shared" si="39"/>
        <v>4.6391752577319645E-2</v>
      </c>
      <c r="U23" s="12">
        <f t="shared" si="39"/>
        <v>5.8128078817734075E-2</v>
      </c>
      <c r="V23" s="12">
        <f t="shared" si="39"/>
        <v>-4.003724394785857E-2</v>
      </c>
      <c r="W23" s="12">
        <f t="shared" si="39"/>
        <v>-0.30552861299709022</v>
      </c>
      <c r="X23" s="12">
        <f t="shared" si="39"/>
        <v>0.18416201117318431</v>
      </c>
      <c r="Y23" s="12">
        <f t="shared" si="39"/>
        <v>6.0000000000000053E-2</v>
      </c>
      <c r="Z23" s="12">
        <f t="shared" si="39"/>
        <v>5.0000000000000044E-2</v>
      </c>
      <c r="AA23" s="12">
        <f t="shared" si="39"/>
        <v>5.0000000000000044E-2</v>
      </c>
      <c r="AB23" s="12">
        <f t="shared" si="39"/>
        <v>3.0000000000000027E-2</v>
      </c>
      <c r="AC23" s="12">
        <f t="shared" si="39"/>
        <v>2.0000000000000018E-2</v>
      </c>
      <c r="AD23" s="12">
        <f t="shared" si="39"/>
        <v>2.0000000000000018E-2</v>
      </c>
      <c r="AE23" s="12">
        <f t="shared" si="39"/>
        <v>2.0000000000000018E-2</v>
      </c>
      <c r="AF23" s="12">
        <f t="shared" si="39"/>
        <v>2.0000000000000018E-2</v>
      </c>
      <c r="AG23" s="12">
        <f t="shared" si="39"/>
        <v>2.0000000000000018E-2</v>
      </c>
      <c r="AI23" t="s">
        <v>44</v>
      </c>
      <c r="AJ23" s="12">
        <v>0.1</v>
      </c>
    </row>
    <row r="24" spans="2:36" x14ac:dyDescent="0.3">
      <c r="B24" s="11" t="s">
        <v>30</v>
      </c>
      <c r="C24" s="12">
        <f t="shared" ref="C24:F24" si="40">C14/C13</f>
        <v>-1.0000000000000422</v>
      </c>
      <c r="D24" s="12">
        <f t="shared" si="40"/>
        <v>0.5901639344262285</v>
      </c>
      <c r="E24" s="12">
        <f t="shared" si="40"/>
        <v>0.40000000000000108</v>
      </c>
      <c r="F24" s="12">
        <f t="shared" si="40"/>
        <v>0.3375000000000003</v>
      </c>
      <c r="G24" s="12">
        <f>G14/G13</f>
        <v>0.49999999999999517</v>
      </c>
      <c r="H24" s="12">
        <f t="shared" ref="H24:N24" si="41">H14/H13</f>
        <v>0.31081081081081102</v>
      </c>
      <c r="I24" s="12">
        <f t="shared" si="41"/>
        <v>0.3493975903614458</v>
      </c>
      <c r="J24" s="12">
        <f t="shared" si="41"/>
        <v>0.96874999999999867</v>
      </c>
      <c r="K24" s="12">
        <f t="shared" si="41"/>
        <v>0.10784313725490201</v>
      </c>
      <c r="L24" s="12">
        <f t="shared" si="41"/>
        <v>-2.66666666666667E-3</v>
      </c>
      <c r="M24" s="12">
        <f t="shared" si="41"/>
        <v>0.13043478260869573</v>
      </c>
      <c r="N24" s="12">
        <f t="shared" si="41"/>
        <v>4.3478260869565223E-2</v>
      </c>
      <c r="O24" s="12">
        <f t="shared" ref="O24:P24" si="42">O14/O13</f>
        <v>0.02</v>
      </c>
      <c r="P24" s="12">
        <f t="shared" si="42"/>
        <v>0.02</v>
      </c>
      <c r="R24" s="12">
        <f t="shared" ref="R24:AG24" si="43">R14/R13</f>
        <v>0.56451612903225745</v>
      </c>
      <c r="S24" s="12">
        <f t="shared" si="43"/>
        <v>0.33333333333333359</v>
      </c>
      <c r="T24" s="12">
        <f t="shared" si="43"/>
        <v>0.29411764705882404</v>
      </c>
      <c r="U24" s="12">
        <f t="shared" si="43"/>
        <v>-3.9215686274509852E-2</v>
      </c>
      <c r="V24" s="12">
        <f t="shared" si="43"/>
        <v>2.0964360587002105E-2</v>
      </c>
      <c r="W24" s="12">
        <f t="shared" si="43"/>
        <v>0</v>
      </c>
      <c r="X24" s="12">
        <f t="shared" si="43"/>
        <v>1.4357394126148853E-2</v>
      </c>
      <c r="Y24" s="12">
        <f t="shared" si="43"/>
        <v>0.3</v>
      </c>
      <c r="Z24" s="12">
        <f t="shared" si="43"/>
        <v>0.3</v>
      </c>
      <c r="AA24" s="12">
        <f t="shared" si="43"/>
        <v>0.3</v>
      </c>
      <c r="AB24" s="12">
        <f t="shared" si="43"/>
        <v>0.3</v>
      </c>
      <c r="AC24" s="12">
        <f t="shared" si="43"/>
        <v>0.3</v>
      </c>
      <c r="AD24" s="12">
        <f t="shared" si="43"/>
        <v>0.3</v>
      </c>
      <c r="AE24" s="12">
        <f t="shared" si="43"/>
        <v>0.3</v>
      </c>
      <c r="AF24" s="12">
        <f t="shared" si="43"/>
        <v>0.3</v>
      </c>
      <c r="AG24" s="12">
        <f t="shared" si="43"/>
        <v>0.3</v>
      </c>
      <c r="AI24" t="s">
        <v>45</v>
      </c>
      <c r="AJ24" s="6">
        <f>NPV(AJ23,W16:EI16)</f>
        <v>121.19645750111179</v>
      </c>
    </row>
    <row r="25" spans="2:36" x14ac:dyDescent="0.3">
      <c r="B25" s="11" t="s">
        <v>42</v>
      </c>
      <c r="C25" s="12">
        <f t="shared" ref="C25:F25" si="44">C16/C3</f>
        <v>2.9498525073745692E-3</v>
      </c>
      <c r="D25" s="12">
        <f t="shared" si="44"/>
        <v>2.8376844494892282E-2</v>
      </c>
      <c r="E25" s="12">
        <f t="shared" si="44"/>
        <v>-4.0268456375838748E-3</v>
      </c>
      <c r="F25" s="12">
        <f t="shared" si="44"/>
        <v>5.9829059829059755E-2</v>
      </c>
      <c r="G25" s="12">
        <f>G16/G3</f>
        <v>5.3619302949060891E-3</v>
      </c>
      <c r="H25" s="12">
        <f t="shared" ref="H25:N25" si="45">H16/H3</f>
        <v>6.2039957939011507E-2</v>
      </c>
      <c r="I25" s="12">
        <f t="shared" si="45"/>
        <v>-5.8565153733528531E-2</v>
      </c>
      <c r="J25" s="12">
        <f t="shared" si="45"/>
        <v>1.1224489795918412E-2</v>
      </c>
      <c r="K25" s="12">
        <f t="shared" si="45"/>
        <v>-0.12481857764876626</v>
      </c>
      <c r="L25" s="12">
        <f t="shared" si="45"/>
        <v>-0.44029850746268634</v>
      </c>
      <c r="M25" s="12">
        <f t="shared" si="45"/>
        <v>-3.4764826175869089E-2</v>
      </c>
      <c r="N25" s="12">
        <f t="shared" si="45"/>
        <v>9.2284417549167913E-2</v>
      </c>
      <c r="O25" s="12">
        <f t="shared" ref="O25:P25" si="46">O16/O3</f>
        <v>-2.7802193716304074E-2</v>
      </c>
      <c r="P25" s="12">
        <f t="shared" si="46"/>
        <v>3.1592081473008474E-2</v>
      </c>
      <c r="R25" s="12">
        <f t="shared" ref="R25:AG25" si="47">R16/R3</f>
        <v>1.7318794098781311E-2</v>
      </c>
      <c r="S25" s="12">
        <f t="shared" si="47"/>
        <v>3.1528851873884559E-2</v>
      </c>
      <c r="T25" s="12">
        <f t="shared" si="47"/>
        <v>3.7124337065409477E-2</v>
      </c>
      <c r="U25" s="12">
        <f t="shared" si="47"/>
        <v>-1.743836440168367E-2</v>
      </c>
      <c r="V25" s="12">
        <f t="shared" si="47"/>
        <v>-0.29470864032150018</v>
      </c>
      <c r="W25" s="12">
        <f t="shared" si="47"/>
        <v>3.8260869565217376E-2</v>
      </c>
      <c r="X25" s="12">
        <f t="shared" si="47"/>
        <v>7.4345393586605982E-3</v>
      </c>
      <c r="Y25" s="12">
        <f t="shared" si="47"/>
        <v>4.5692872705645877E-2</v>
      </c>
      <c r="Z25" s="12">
        <f t="shared" si="47"/>
        <v>5.9819754451839437E-2</v>
      </c>
      <c r="AA25" s="12">
        <f t="shared" si="47"/>
        <v>6.2216804516783686E-2</v>
      </c>
      <c r="AB25" s="12">
        <f t="shared" si="47"/>
        <v>6.7555324519313537E-2</v>
      </c>
      <c r="AC25" s="12">
        <f t="shared" si="47"/>
        <v>7.2441287198155735E-2</v>
      </c>
      <c r="AD25" s="12">
        <f t="shared" si="47"/>
        <v>7.699839021010732E-2</v>
      </c>
      <c r="AE25" s="12">
        <f t="shared" si="47"/>
        <v>7.776612596056745E-2</v>
      </c>
      <c r="AF25" s="12">
        <f t="shared" si="47"/>
        <v>7.8368271647202808E-2</v>
      </c>
      <c r="AG25" s="12">
        <f t="shared" si="47"/>
        <v>7.8840542773975633E-2</v>
      </c>
      <c r="AI25" t="s">
        <v>46</v>
      </c>
      <c r="AJ25" s="6">
        <f>Main!D8</f>
        <v>7.2</v>
      </c>
    </row>
    <row r="26" spans="2:36" x14ac:dyDescent="0.3">
      <c r="AI26" t="s">
        <v>47</v>
      </c>
      <c r="AJ26" s="6">
        <f>AJ24+AJ25</f>
        <v>128.3964575011118</v>
      </c>
    </row>
    <row r="27" spans="2:36" x14ac:dyDescent="0.3">
      <c r="AI27" t="s">
        <v>48</v>
      </c>
      <c r="AJ27" s="5">
        <f>AJ26/AG17</f>
        <v>2.1579236554808707</v>
      </c>
    </row>
    <row r="28" spans="2:36" x14ac:dyDescent="0.3">
      <c r="AI28" t="s">
        <v>49</v>
      </c>
      <c r="AJ28" s="5">
        <f>Main!D3</f>
        <v>3.23</v>
      </c>
    </row>
    <row r="29" spans="2:36" x14ac:dyDescent="0.3">
      <c r="AI29" s="1" t="s">
        <v>50</v>
      </c>
      <c r="AJ29" s="13">
        <f>AJ27/AJ28-1</f>
        <v>-0.33191218096567465</v>
      </c>
    </row>
    <row r="30" spans="2:36" x14ac:dyDescent="0.3">
      <c r="AI30" t="s">
        <v>51</v>
      </c>
      <c r="AJ30" s="7" t="s">
        <v>52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2021-04-28T11:09:52Z</dcterms:created>
  <dcterms:modified xsi:type="dcterms:W3CDTF">2021-08-12T11:24:39Z</dcterms:modified>
</cp:coreProperties>
</file>