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56ACEA9-1EFB-4239-9667-8C05D3845866}" xr6:coauthVersionLast="47" xr6:coauthVersionMax="47" xr10:uidLastSave="{00000000-0000-0000-0000-000000000000}"/>
  <bookViews>
    <workbookView xWindow="-108" yWindow="-108" windowWidth="23256" windowHeight="12576" xr2:uid="{8DE2C096-8306-4635-BAD7-DE2F1A3674DA}"/>
  </bookViews>
  <sheets>
    <sheet name="Ma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2" i="1" l="1"/>
  <c r="X28" i="1" l="1"/>
  <c r="AA28" i="1"/>
  <c r="Y28" i="1"/>
  <c r="W28" i="1"/>
  <c r="V28" i="1"/>
  <c r="U28" i="1"/>
  <c r="T28" i="1"/>
  <c r="I28" i="1" l="1"/>
  <c r="H28" i="1" l="1"/>
  <c r="J28" i="1" l="1"/>
  <c r="K28" i="1"/>
  <c r="L28" i="1" l="1"/>
  <c r="M28" i="1"/>
  <c r="Z28" i="1" l="1"/>
  <c r="AF24" i="1" l="1"/>
  <c r="AE24" i="1"/>
  <c r="AA24" i="1"/>
  <c r="Z24" i="1"/>
  <c r="Y24" i="1"/>
  <c r="X24" i="1"/>
  <c r="W24" i="1"/>
  <c r="V24" i="1"/>
  <c r="U24" i="1"/>
  <c r="T24" i="1"/>
  <c r="M24" i="1"/>
  <c r="L24" i="1"/>
  <c r="K24" i="1"/>
  <c r="J24" i="1"/>
  <c r="I24" i="1"/>
  <c r="H24" i="1"/>
  <c r="Z32" i="1" l="1"/>
  <c r="AA32" i="1"/>
  <c r="Y32" i="1"/>
  <c r="X32" i="1"/>
  <c r="W32" i="1"/>
  <c r="V32" i="1"/>
  <c r="U32" i="1"/>
  <c r="T32" i="1"/>
  <c r="M32" i="1"/>
  <c r="L32" i="1"/>
  <c r="K32" i="1"/>
  <c r="J32" i="1"/>
  <c r="I32" i="1"/>
  <c r="H32" i="1"/>
  <c r="AF30" i="1" l="1"/>
  <c r="AE30" i="1"/>
  <c r="AA30" i="1"/>
  <c r="Z30" i="1"/>
  <c r="Y30" i="1"/>
  <c r="X30" i="1"/>
  <c r="W30" i="1"/>
  <c r="V30" i="1"/>
  <c r="U30" i="1"/>
  <c r="T30" i="1"/>
  <c r="M30" i="1"/>
  <c r="L30" i="1"/>
  <c r="K30" i="1"/>
  <c r="J30" i="1"/>
  <c r="I30" i="1"/>
  <c r="V19" i="1"/>
  <c r="T19" i="1"/>
  <c r="M19" i="1"/>
  <c r="L19" i="1"/>
  <c r="K19" i="1"/>
  <c r="J19" i="1"/>
  <c r="I19" i="1"/>
  <c r="H19" i="1"/>
  <c r="H30" i="1"/>
  <c r="G30" i="1"/>
  <c r="F30" i="1"/>
  <c r="E30" i="1"/>
  <c r="D30" i="1"/>
  <c r="P30" i="1" l="1"/>
  <c r="N30" i="1"/>
  <c r="O30" i="1"/>
  <c r="Q30" i="1"/>
  <c r="R30" i="1"/>
  <c r="S30" i="1"/>
  <c r="AF5" i="1" l="1"/>
  <c r="AE5" i="1"/>
  <c r="AA5" i="1"/>
  <c r="Y5" i="1"/>
  <c r="X5" i="1"/>
  <c r="W5" i="1"/>
  <c r="V5" i="1"/>
  <c r="U5" i="1"/>
  <c r="T5" i="1"/>
  <c r="M5" i="1"/>
  <c r="K5" i="1"/>
  <c r="J5" i="1"/>
  <c r="I5" i="1"/>
  <c r="H5" i="1"/>
  <c r="G5" i="1"/>
  <c r="F5" i="1"/>
  <c r="E5" i="1"/>
  <c r="D5" i="1"/>
  <c r="S5" i="1" l="1"/>
  <c r="N5" i="1"/>
  <c r="O5" i="1"/>
  <c r="Q5" i="1"/>
  <c r="P5" i="1"/>
  <c r="AF10" i="1"/>
  <c r="AE10" i="1"/>
  <c r="AA10" i="1"/>
  <c r="Y10" i="1"/>
  <c r="W10" i="1"/>
  <c r="X10" i="1"/>
  <c r="V10" i="1"/>
  <c r="T10" i="1"/>
  <c r="M10" i="1"/>
  <c r="L10" i="1"/>
  <c r="K10" i="1"/>
  <c r="J10" i="1"/>
  <c r="H10" i="1"/>
  <c r="G10" i="1"/>
  <c r="F10" i="1"/>
  <c r="E10" i="1"/>
  <c r="D10" i="1"/>
  <c r="N10" i="1" l="1"/>
  <c r="S10" i="1"/>
  <c r="P10" i="1"/>
  <c r="Q10" i="1"/>
  <c r="R10" i="1"/>
  <c r="AE22" i="1"/>
  <c r="AA22" i="1"/>
  <c r="Y22" i="1"/>
  <c r="X22" i="1"/>
  <c r="W22" i="1"/>
  <c r="V22" i="1"/>
  <c r="U22" i="1"/>
  <c r="T22" i="1"/>
  <c r="H22" i="1"/>
  <c r="E22" i="1"/>
  <c r="D22" i="1"/>
  <c r="AF15" i="1"/>
  <c r="AE15" i="1"/>
  <c r="AA15" i="1"/>
  <c r="Z15" i="1"/>
  <c r="Y15" i="1"/>
  <c r="X15" i="1"/>
  <c r="W15" i="1"/>
  <c r="V15" i="1"/>
  <c r="U15" i="1"/>
  <c r="T15" i="1"/>
  <c r="M15" i="1"/>
  <c r="L15" i="1"/>
  <c r="K15" i="1"/>
  <c r="J15" i="1"/>
  <c r="I15" i="1"/>
  <c r="H15" i="1"/>
  <c r="G15" i="1"/>
  <c r="F15" i="1"/>
  <c r="E15" i="1"/>
  <c r="D15" i="1"/>
  <c r="N15" i="1" l="1"/>
  <c r="S15" i="1"/>
  <c r="O15" i="1"/>
  <c r="P15" i="1"/>
  <c r="R15" i="1"/>
  <c r="Q15" i="1"/>
  <c r="U20" i="1"/>
  <c r="AF23" i="1" l="1"/>
  <c r="AE23" i="1"/>
  <c r="AA23" i="1"/>
  <c r="Y23" i="1"/>
  <c r="X23" i="1"/>
  <c r="W23" i="1"/>
  <c r="V23" i="1"/>
  <c r="U23" i="1"/>
  <c r="T23" i="1"/>
  <c r="M23" i="1"/>
  <c r="L23" i="1"/>
  <c r="K23" i="1"/>
  <c r="J23" i="1"/>
  <c r="H23" i="1"/>
  <c r="G23" i="1"/>
  <c r="F23" i="1"/>
  <c r="E23" i="1"/>
  <c r="D23" i="1"/>
  <c r="AF29" i="1"/>
  <c r="AE29" i="1"/>
  <c r="AA29" i="1"/>
  <c r="Y29" i="1"/>
  <c r="X29" i="1"/>
  <c r="W29" i="1"/>
  <c r="V29" i="1"/>
  <c r="U29" i="1"/>
  <c r="T29" i="1"/>
  <c r="I29" i="1"/>
  <c r="H29" i="1"/>
  <c r="G29" i="1"/>
  <c r="F29" i="1"/>
  <c r="E29" i="1"/>
  <c r="D29" i="1"/>
  <c r="X19" i="1"/>
  <c r="W19" i="1"/>
  <c r="N23" i="1" l="1"/>
  <c r="O29" i="1"/>
  <c r="Q23" i="1"/>
  <c r="P23" i="1"/>
  <c r="R23" i="1"/>
  <c r="S23" i="1"/>
  <c r="N29" i="1"/>
  <c r="AF12" i="1"/>
  <c r="AE12" i="1"/>
  <c r="AA12" i="1"/>
  <c r="Y12" i="1"/>
  <c r="Z12" i="1" l="1"/>
  <c r="X12" i="1"/>
  <c r="W12" i="1"/>
  <c r="V12" i="1"/>
  <c r="U12" i="1"/>
  <c r="T12" i="1"/>
  <c r="I12" i="1"/>
  <c r="H12" i="1"/>
  <c r="G12" i="1"/>
  <c r="F12" i="1"/>
  <c r="E12" i="1"/>
  <c r="D12" i="1"/>
  <c r="D14" i="1"/>
  <c r="E14" i="1"/>
  <c r="F14" i="1"/>
  <c r="G14" i="1"/>
  <c r="T14" i="1"/>
  <c r="U14" i="1"/>
  <c r="V14" i="1"/>
  <c r="W14" i="1"/>
  <c r="Y14" i="1"/>
  <c r="AA14" i="1"/>
  <c r="AE14" i="1"/>
  <c r="AF14" i="1"/>
  <c r="AF13" i="1"/>
  <c r="AE13" i="1"/>
  <c r="AA13" i="1"/>
  <c r="Z13" i="1"/>
  <c r="Y13" i="1"/>
  <c r="X13" i="1"/>
  <c r="W13" i="1"/>
  <c r="V13" i="1"/>
  <c r="U13" i="1"/>
  <c r="T13" i="1"/>
  <c r="J13" i="1"/>
  <c r="I13" i="1"/>
  <c r="H13" i="1"/>
  <c r="G13" i="1"/>
  <c r="F13" i="1"/>
  <c r="E13" i="1"/>
  <c r="D13" i="1"/>
  <c r="N12" i="1" l="1"/>
  <c r="O12" i="1"/>
  <c r="P13" i="1"/>
  <c r="N13" i="1"/>
  <c r="O13" i="1"/>
  <c r="U19" i="1" l="1"/>
  <c r="AA9" i="1" l="1"/>
  <c r="Z9" i="1"/>
  <c r="Y9" i="1"/>
  <c r="X9" i="1"/>
  <c r="W9" i="1"/>
  <c r="V9" i="1"/>
  <c r="U9" i="1"/>
  <c r="M9" i="1"/>
  <c r="L9" i="1"/>
  <c r="K9" i="1"/>
  <c r="J9" i="1"/>
  <c r="I9" i="1"/>
  <c r="H9" i="1"/>
  <c r="AF28" i="1" l="1"/>
  <c r="AE28" i="1"/>
  <c r="G28" i="1" l="1"/>
  <c r="F28" i="1"/>
  <c r="E28" i="1"/>
  <c r="D28" i="1"/>
  <c r="N28" i="1" l="1"/>
  <c r="P28" i="1"/>
  <c r="K13" i="1" l="1"/>
  <c r="Q13" i="1" s="1"/>
  <c r="O28" i="1"/>
  <c r="L13" i="1" l="1"/>
  <c r="R13" i="1" s="1"/>
  <c r="R28" i="1"/>
  <c r="M13" i="1" l="1"/>
  <c r="S13" i="1" s="1"/>
  <c r="Q28" i="1"/>
  <c r="S28" i="1" l="1"/>
  <c r="AF31" i="1" l="1"/>
  <c r="AE31" i="1"/>
  <c r="AA31" i="1"/>
  <c r="Y31" i="1"/>
  <c r="X31" i="1"/>
  <c r="W31" i="1"/>
  <c r="V31" i="1"/>
  <c r="U31" i="1"/>
  <c r="T31" i="1"/>
  <c r="M31" i="1"/>
  <c r="L31" i="1"/>
  <c r="K31" i="1"/>
  <c r="J31" i="1"/>
  <c r="I31" i="1"/>
  <c r="H31" i="1"/>
  <c r="G31" i="1"/>
  <c r="F31" i="1"/>
  <c r="E31" i="1"/>
  <c r="D31" i="1"/>
  <c r="Z31" i="1"/>
  <c r="AF20" i="1"/>
  <c r="AE20" i="1"/>
  <c r="AA20" i="1"/>
  <c r="Z20" i="1"/>
  <c r="Y20" i="1"/>
  <c r="X20" i="1"/>
  <c r="W20" i="1"/>
  <c r="V20" i="1"/>
  <c r="T20" i="1"/>
  <c r="M20" i="1"/>
  <c r="L20" i="1"/>
  <c r="K20" i="1"/>
  <c r="J20" i="1"/>
  <c r="I20" i="1"/>
  <c r="H20" i="1"/>
  <c r="G20" i="1"/>
  <c r="F20" i="1"/>
  <c r="E20" i="1"/>
  <c r="D20" i="1"/>
  <c r="N31" i="1" l="1"/>
  <c r="R20" i="1"/>
  <c r="S31" i="1"/>
  <c r="P31" i="1"/>
  <c r="O31" i="1"/>
  <c r="Q31" i="1"/>
  <c r="R31" i="1"/>
  <c r="Q20" i="1"/>
  <c r="S20" i="1"/>
  <c r="N20" i="1"/>
  <c r="O20" i="1"/>
  <c r="P20" i="1"/>
  <c r="AF17" i="1" l="1"/>
  <c r="AF6" i="1" l="1"/>
  <c r="AE6" i="1"/>
  <c r="AA6" i="1"/>
  <c r="Z6" i="1"/>
  <c r="Y6" i="1"/>
  <c r="X6" i="1"/>
  <c r="W6" i="1"/>
  <c r="V6" i="1"/>
  <c r="U6" i="1"/>
  <c r="T6" i="1"/>
  <c r="M6" i="1"/>
  <c r="L6" i="1"/>
  <c r="K6" i="1"/>
  <c r="J6" i="1"/>
  <c r="I6" i="1"/>
  <c r="H6" i="1"/>
  <c r="G6" i="1"/>
  <c r="F6" i="1"/>
  <c r="E6" i="1"/>
  <c r="D6" i="1"/>
  <c r="N6" i="1" l="1"/>
  <c r="S6" i="1"/>
  <c r="P6" i="1"/>
  <c r="O6" i="1"/>
  <c r="Q6" i="1"/>
  <c r="R6" i="1"/>
  <c r="AF8" i="1"/>
  <c r="AE8" i="1"/>
  <c r="AA8" i="1"/>
  <c r="Z8" i="1"/>
  <c r="Y8" i="1"/>
  <c r="X8" i="1"/>
  <c r="W8" i="1"/>
  <c r="V8" i="1"/>
  <c r="U8" i="1"/>
  <c r="T8" i="1"/>
  <c r="J8" i="1"/>
  <c r="I8" i="1"/>
  <c r="H8" i="1"/>
  <c r="G8" i="1"/>
  <c r="F8" i="1"/>
  <c r="E8" i="1"/>
  <c r="D8" i="1"/>
  <c r="N8" i="1" l="1"/>
  <c r="O8" i="1"/>
  <c r="P8" i="1"/>
  <c r="K8" i="1"/>
  <c r="Q8" i="1" s="1"/>
  <c r="L8" i="1" l="1"/>
  <c r="R8" i="1" s="1"/>
  <c r="M8" i="1" l="1"/>
  <c r="S8" i="1" s="1"/>
  <c r="AF4" i="1" l="1"/>
  <c r="AE4" i="1"/>
  <c r="AA4" i="1"/>
  <c r="Z4" i="1"/>
  <c r="Y4" i="1"/>
  <c r="X4" i="1"/>
  <c r="W4" i="1"/>
  <c r="V4" i="1"/>
  <c r="U4" i="1"/>
  <c r="T4" i="1"/>
  <c r="M4" i="1"/>
  <c r="L4" i="1"/>
  <c r="K4" i="1"/>
  <c r="J4" i="1"/>
  <c r="I4" i="1"/>
  <c r="H4" i="1"/>
  <c r="G4" i="1"/>
  <c r="F4" i="1"/>
  <c r="E4" i="1"/>
  <c r="D4" i="1"/>
  <c r="Y19" i="1"/>
  <c r="AA19" i="1"/>
  <c r="N4" i="1" l="1"/>
  <c r="Q4" i="1"/>
  <c r="O4" i="1"/>
  <c r="P4" i="1"/>
  <c r="R4" i="1"/>
  <c r="S4" i="1"/>
  <c r="AF27" i="1"/>
  <c r="AE27" i="1"/>
  <c r="AA27" i="1"/>
  <c r="Z27" i="1"/>
  <c r="Y27" i="1"/>
  <c r="X27" i="1"/>
  <c r="W27" i="1"/>
  <c r="V27" i="1"/>
  <c r="U27" i="1"/>
  <c r="T27" i="1"/>
  <c r="M27" i="1"/>
  <c r="L27" i="1"/>
  <c r="K27" i="1"/>
  <c r="J27" i="1"/>
  <c r="I27" i="1"/>
  <c r="H27" i="1"/>
  <c r="G27" i="1"/>
  <c r="F27" i="1"/>
  <c r="E27" i="1"/>
  <c r="D27" i="1"/>
  <c r="N27" i="1" l="1"/>
  <c r="S27" i="1"/>
  <c r="O27" i="1"/>
  <c r="P27" i="1"/>
  <c r="Q27" i="1"/>
  <c r="R27" i="1"/>
  <c r="AF25" i="1"/>
  <c r="AE25" i="1"/>
  <c r="AA25" i="1"/>
  <c r="Y25" i="1"/>
  <c r="X25" i="1"/>
  <c r="W25" i="1"/>
  <c r="V25" i="1"/>
  <c r="U25" i="1"/>
  <c r="T25" i="1"/>
  <c r="H25" i="1"/>
  <c r="G25" i="1"/>
  <c r="F25" i="1"/>
  <c r="E25" i="1"/>
  <c r="D25" i="1"/>
  <c r="AF26" i="1"/>
  <c r="AE26" i="1"/>
  <c r="AA26" i="1"/>
  <c r="Z26" i="1"/>
  <c r="Y26" i="1"/>
  <c r="X26" i="1"/>
  <c r="W26" i="1"/>
  <c r="V26" i="1"/>
  <c r="U26" i="1"/>
  <c r="T26" i="1"/>
  <c r="M26" i="1"/>
  <c r="L26" i="1"/>
  <c r="K26" i="1"/>
  <c r="J26" i="1"/>
  <c r="I26" i="1"/>
  <c r="H26" i="1"/>
  <c r="G26" i="1"/>
  <c r="F26" i="1"/>
  <c r="E26" i="1"/>
  <c r="D26" i="1"/>
  <c r="N25" i="1" l="1"/>
  <c r="R26" i="1"/>
  <c r="S26" i="1"/>
  <c r="N26" i="1"/>
  <c r="Q26" i="1"/>
  <c r="P26" i="1"/>
  <c r="O26" i="1"/>
  <c r="AF21" i="1" l="1"/>
  <c r="AF18" i="1"/>
  <c r="AE18" i="1"/>
  <c r="AA18" i="1"/>
  <c r="Z18" i="1"/>
  <c r="Y18" i="1"/>
  <c r="X18" i="1"/>
  <c r="W18" i="1"/>
  <c r="V18" i="1"/>
  <c r="U18" i="1"/>
  <c r="T18" i="1"/>
  <c r="M18" i="1"/>
  <c r="L18" i="1"/>
  <c r="K18" i="1"/>
  <c r="J18" i="1"/>
  <c r="I18" i="1"/>
  <c r="H18" i="1"/>
  <c r="G18" i="1"/>
  <c r="F18" i="1"/>
  <c r="E18" i="1"/>
  <c r="D18" i="1"/>
  <c r="N18" i="1" l="1"/>
  <c r="S18" i="1"/>
  <c r="O18" i="1"/>
  <c r="R18" i="1"/>
  <c r="P18" i="1"/>
  <c r="Q18" i="1"/>
  <c r="I25" i="1" l="1"/>
  <c r="O25" i="1" s="1"/>
  <c r="AF16" i="1"/>
  <c r="AE16" i="1"/>
  <c r="AA16" i="1"/>
  <c r="Y16" i="1"/>
  <c r="X16" i="1"/>
  <c r="W16" i="1"/>
  <c r="V16" i="1"/>
  <c r="U16" i="1"/>
  <c r="T16" i="1" l="1"/>
  <c r="M16" i="1"/>
  <c r="L16" i="1"/>
  <c r="K16" i="1"/>
  <c r="J16" i="1"/>
  <c r="I16" i="1"/>
  <c r="H16" i="1"/>
  <c r="G16" i="1"/>
  <c r="F16" i="1"/>
  <c r="E16" i="1"/>
  <c r="D16" i="1"/>
  <c r="S16" i="1" l="1"/>
  <c r="N16" i="1"/>
  <c r="Q16" i="1"/>
  <c r="R16" i="1"/>
  <c r="O16" i="1"/>
  <c r="P16" i="1"/>
  <c r="J25" i="1" l="1"/>
  <c r="P25" i="1" s="1"/>
  <c r="G32" i="1"/>
  <c r="F32" i="1"/>
  <c r="AF32" i="1"/>
  <c r="AE32" i="1"/>
  <c r="E32" i="1"/>
  <c r="D32" i="1"/>
  <c r="P32" i="1" l="1"/>
  <c r="S32" i="1"/>
  <c r="R32" i="1"/>
  <c r="Q32" i="1"/>
  <c r="N32" i="1"/>
  <c r="O32" i="1"/>
  <c r="Z16" i="1"/>
  <c r="AF7" i="1"/>
  <c r="AE7" i="1"/>
  <c r="AA7" i="1"/>
  <c r="Y7" i="1"/>
  <c r="X7" i="1"/>
  <c r="W7" i="1"/>
  <c r="V7" i="1"/>
  <c r="U7" i="1"/>
  <c r="T7" i="1"/>
  <c r="I7" i="1"/>
  <c r="G7" i="1"/>
  <c r="F7" i="1"/>
  <c r="E7" i="1"/>
  <c r="D7" i="1"/>
  <c r="O7" i="1" l="1"/>
  <c r="AF9" i="1" l="1"/>
  <c r="AE9" i="1"/>
  <c r="T9" i="1"/>
  <c r="K25" i="1" l="1"/>
  <c r="Q25" i="1" s="1"/>
  <c r="G9" i="1"/>
  <c r="F9" i="1"/>
  <c r="E9" i="1"/>
  <c r="D9" i="1"/>
  <c r="N9" i="1" l="1"/>
  <c r="P9" i="1"/>
  <c r="S9" i="1"/>
  <c r="R9" i="1"/>
  <c r="O9" i="1"/>
  <c r="Q9" i="1"/>
  <c r="AF19" i="1"/>
  <c r="AE19" i="1"/>
  <c r="G19" i="1"/>
  <c r="F19" i="1"/>
  <c r="E19" i="1"/>
  <c r="D19" i="1"/>
  <c r="R19" i="1" l="1"/>
  <c r="N19" i="1"/>
  <c r="O19" i="1"/>
  <c r="P19" i="1"/>
  <c r="Q19" i="1"/>
  <c r="S19" i="1"/>
  <c r="AF11" i="1"/>
  <c r="AE11" i="1"/>
  <c r="AA11" i="1"/>
  <c r="X21" i="1"/>
  <c r="W21" i="1"/>
  <c r="V21" i="1"/>
  <c r="U21" i="1"/>
  <c r="T21" i="1"/>
  <c r="Y21" i="1"/>
  <c r="Y11" i="1"/>
  <c r="X11" i="1"/>
  <c r="W11" i="1"/>
  <c r="V11" i="1"/>
  <c r="U11" i="1"/>
  <c r="T11" i="1"/>
  <c r="M11" i="1"/>
  <c r="L11" i="1"/>
  <c r="K11" i="1"/>
  <c r="J11" i="1"/>
  <c r="I11" i="1"/>
  <c r="H11" i="1"/>
  <c r="G11" i="1"/>
  <c r="F11" i="1"/>
  <c r="E11" i="1"/>
  <c r="D11" i="1"/>
  <c r="L25" i="1" l="1"/>
  <c r="R25" i="1" s="1"/>
  <c r="Q11" i="1"/>
  <c r="R11" i="1"/>
  <c r="S11" i="1"/>
  <c r="O11" i="1"/>
  <c r="N11" i="1"/>
  <c r="P11" i="1"/>
  <c r="L21" i="1"/>
  <c r="K21" i="1"/>
  <c r="J21" i="1"/>
  <c r="I21" i="1"/>
  <c r="H21" i="1"/>
  <c r="Z11" i="1" l="1"/>
  <c r="M25" i="1" l="1"/>
  <c r="S25" i="1" s="1"/>
  <c r="AA21" i="1"/>
  <c r="G24" i="1" l="1"/>
  <c r="F24" i="1"/>
  <c r="E24" i="1"/>
  <c r="D24" i="1"/>
  <c r="AE21" i="1"/>
  <c r="G21" i="1"/>
  <c r="F21" i="1"/>
  <c r="E21" i="1"/>
  <c r="D21" i="1"/>
  <c r="O21" i="1" l="1"/>
  <c r="P21" i="1"/>
  <c r="Q21" i="1"/>
  <c r="R21" i="1"/>
  <c r="N21" i="1"/>
  <c r="N24" i="1"/>
  <c r="O24" i="1"/>
  <c r="AE17" i="1"/>
  <c r="AA17" i="1"/>
  <c r="AA3" i="1" s="1"/>
  <c r="Y17" i="1"/>
  <c r="Y3" i="1" s="1"/>
  <c r="X17" i="1"/>
  <c r="W17" i="1"/>
  <c r="W3" i="1" s="1"/>
  <c r="V17" i="1"/>
  <c r="V3" i="1" s="1"/>
  <c r="U17" i="1"/>
  <c r="U3" i="1" s="1"/>
  <c r="T17" i="1"/>
  <c r="M17" i="1"/>
  <c r="L17" i="1"/>
  <c r="K17" i="1"/>
  <c r="J17" i="1"/>
  <c r="G17" i="1"/>
  <c r="F17" i="1"/>
  <c r="E17" i="1"/>
  <c r="D17" i="1"/>
  <c r="R17" i="1" l="1"/>
  <c r="S17" i="1"/>
  <c r="P17" i="1"/>
  <c r="Q17" i="1"/>
  <c r="P24" i="1" l="1"/>
  <c r="R24" i="1" l="1"/>
  <c r="S24" i="1" l="1"/>
  <c r="Q24" i="1"/>
  <c r="M21" i="1" l="1"/>
  <c r="S21" i="1" s="1"/>
  <c r="Z21" i="1" l="1"/>
  <c r="Z25" i="1" l="1"/>
  <c r="H17" i="1" l="1"/>
  <c r="N17" i="1" s="1"/>
  <c r="J12" i="1" l="1"/>
  <c r="P12" i="1" s="1"/>
  <c r="K12" i="1" l="1"/>
  <c r="Q12" i="1" s="1"/>
  <c r="L12" i="1" l="1"/>
  <c r="R12" i="1" s="1"/>
  <c r="M12" i="1" l="1"/>
  <c r="S12" i="1" s="1"/>
  <c r="J29" i="1" l="1"/>
  <c r="P29" i="1" s="1"/>
  <c r="K29" i="1"/>
  <c r="Q29" i="1" s="1"/>
  <c r="L29" i="1" l="1"/>
  <c r="R29" i="1" s="1"/>
  <c r="M29" i="1" l="1"/>
  <c r="S29" i="1" s="1"/>
  <c r="Z29" i="1" l="1"/>
  <c r="H7" i="1" l="1"/>
  <c r="N7" i="1" s="1"/>
  <c r="L7" i="1" l="1"/>
  <c r="R7" i="1" s="1"/>
  <c r="J7" i="1"/>
  <c r="P7" i="1" s="1"/>
  <c r="K7" i="1"/>
  <c r="Q7" i="1" s="1"/>
  <c r="M7" i="1"/>
  <c r="S7" i="1" s="1"/>
  <c r="Z7" i="1" l="1"/>
  <c r="X14" i="1" l="1"/>
  <c r="X3" i="1" s="1"/>
  <c r="H14" i="1" l="1"/>
  <c r="N14" i="1" s="1"/>
  <c r="I14" i="1" l="1"/>
  <c r="O14" i="1" s="1"/>
  <c r="J14" i="1" l="1"/>
  <c r="P14" i="1" s="1"/>
  <c r="K14" i="1" l="1"/>
  <c r="Q14" i="1" s="1"/>
  <c r="L14" i="1" l="1"/>
  <c r="R14" i="1" s="1"/>
  <c r="M14" i="1" l="1"/>
  <c r="S14" i="1" s="1"/>
  <c r="Z14" i="1" l="1"/>
  <c r="G22" i="1"/>
  <c r="F22" i="1"/>
  <c r="N22" i="1" l="1"/>
  <c r="N3" i="1" s="1"/>
  <c r="J22" i="1" l="1"/>
  <c r="P22" i="1" s="1"/>
  <c r="P3" i="1" s="1"/>
  <c r="I22" i="1" l="1"/>
  <c r="O22" i="1" s="1"/>
  <c r="K22" i="1" l="1"/>
  <c r="Q22" i="1" s="1"/>
  <c r="Q3" i="1" s="1"/>
  <c r="L22" i="1" l="1"/>
  <c r="R22" i="1" s="1"/>
  <c r="R3" i="1" s="1"/>
  <c r="M22" i="1" l="1"/>
  <c r="S22" i="1" s="1"/>
  <c r="S3" i="1" s="1"/>
  <c r="Z22" i="1" l="1"/>
  <c r="Z10" i="1" l="1"/>
  <c r="I10" i="1"/>
  <c r="O10" i="1" s="1"/>
  <c r="Z19" i="1" l="1"/>
  <c r="I17" i="1" l="1"/>
  <c r="O17" i="1" s="1"/>
  <c r="Z17" i="1"/>
  <c r="I23" i="1" l="1"/>
  <c r="O23" i="1" s="1"/>
  <c r="O3" i="1" s="1"/>
  <c r="Z23" i="1"/>
  <c r="Z3" i="1" s="1"/>
  <c r="L5" i="1" l="1"/>
  <c r="R5" i="1" s="1"/>
  <c r="Z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</author>
  </authors>
  <commentList>
    <comment ref="U2" authorId="0" shapeId="0" xr:uid="{3ADC9ECE-7667-4E48-82AD-BE4C94294056}">
      <text>
        <r>
          <rPr>
            <b/>
            <sz val="9"/>
            <color indexed="81"/>
            <rFont val="Tahoma"/>
            <family val="2"/>
          </rPr>
          <t>Anton:</t>
        </r>
        <r>
          <rPr>
            <sz val="9"/>
            <color indexed="81"/>
            <rFont val="Tahoma"/>
            <family val="2"/>
          </rPr>
          <t xml:space="preserve">
analyse deeper with different regions and models</t>
        </r>
      </text>
    </comment>
  </commentList>
</comments>
</file>

<file path=xl/sharedStrings.xml><?xml version="1.0" encoding="utf-8"?>
<sst xmlns="http://schemas.openxmlformats.org/spreadsheetml/2006/main" count="122" uniqueCount="102">
  <si>
    <t>Company</t>
  </si>
  <si>
    <t>Ticker</t>
  </si>
  <si>
    <t>Price</t>
  </si>
  <si>
    <t>MC</t>
  </si>
  <si>
    <t>Net Cash</t>
  </si>
  <si>
    <t>EV</t>
  </si>
  <si>
    <t>2020 E</t>
  </si>
  <si>
    <t>2021 E</t>
  </si>
  <si>
    <t>2022 E</t>
  </si>
  <si>
    <t>2023 E</t>
  </si>
  <si>
    <t>2024 E</t>
  </si>
  <si>
    <t>2025 E</t>
  </si>
  <si>
    <t>2020 EV/E</t>
  </si>
  <si>
    <t>2021 EV/E</t>
  </si>
  <si>
    <t>2022 EV/E</t>
  </si>
  <si>
    <t>2023 EV/E</t>
  </si>
  <si>
    <t>2024 EV/E</t>
  </si>
  <si>
    <t>2025 EV/E</t>
  </si>
  <si>
    <t>2019 Rev</t>
  </si>
  <si>
    <t>2019 RevG</t>
  </si>
  <si>
    <t>2020 RevG</t>
  </si>
  <si>
    <t>2019 GM%</t>
  </si>
  <si>
    <t>2019 OM%</t>
  </si>
  <si>
    <t>Discount</t>
  </si>
  <si>
    <t>Variance</t>
  </si>
  <si>
    <t>Consensus</t>
  </si>
  <si>
    <t>Segment</t>
  </si>
  <si>
    <t>Founded</t>
  </si>
  <si>
    <t>Industry Average</t>
  </si>
  <si>
    <t>Ralph Lauren</t>
  </si>
  <si>
    <t>RL US</t>
  </si>
  <si>
    <t>Updated</t>
  </si>
  <si>
    <t>Earnings Call</t>
  </si>
  <si>
    <t>Asos</t>
  </si>
  <si>
    <t>ASOS UK</t>
  </si>
  <si>
    <t>Boohoo</t>
  </si>
  <si>
    <t>BOO UK</t>
  </si>
  <si>
    <t>H&amp;M</t>
  </si>
  <si>
    <t>HNNMY US</t>
  </si>
  <si>
    <t>E-commerce</t>
  </si>
  <si>
    <t>Fast fashion</t>
  </si>
  <si>
    <t>Luxury</t>
  </si>
  <si>
    <t>Burberry</t>
  </si>
  <si>
    <t>BRBY UK</t>
  </si>
  <si>
    <t>TKMaxx</t>
  </si>
  <si>
    <t>TJX US</t>
  </si>
  <si>
    <t>Inditex</t>
  </si>
  <si>
    <t>ITX ES</t>
  </si>
  <si>
    <t>Fast fashion/Luxury</t>
  </si>
  <si>
    <t>Next</t>
  </si>
  <si>
    <t>NXT UK</t>
  </si>
  <si>
    <t>French Connection</t>
  </si>
  <si>
    <t>FCCN UK</t>
  </si>
  <si>
    <t>Fashion</t>
  </si>
  <si>
    <t>Phillips-Van Heusen</t>
  </si>
  <si>
    <t>PVH US</t>
  </si>
  <si>
    <t>Capri</t>
  </si>
  <si>
    <t>CPRI US</t>
  </si>
  <si>
    <t>Vanity Fair</t>
  </si>
  <si>
    <t>Hugo Boss</t>
  </si>
  <si>
    <t>Guess</t>
  </si>
  <si>
    <t>Levi's</t>
  </si>
  <si>
    <t>LVMH</t>
  </si>
  <si>
    <t>Gap</t>
  </si>
  <si>
    <t>BOSS DE</t>
  </si>
  <si>
    <t>Frasers</t>
  </si>
  <si>
    <t>FRAS UK</t>
  </si>
  <si>
    <t>GES US</t>
  </si>
  <si>
    <t>Kering</t>
  </si>
  <si>
    <t>MC FR</t>
  </si>
  <si>
    <t>Hermès</t>
  </si>
  <si>
    <t>Conglomerate</t>
  </si>
  <si>
    <t>KER FR</t>
  </si>
  <si>
    <t>HRMS FR</t>
  </si>
  <si>
    <t>Ted Baker</t>
  </si>
  <si>
    <t>Superdry</t>
  </si>
  <si>
    <t>Marks &amp; Spencer</t>
  </si>
  <si>
    <t>MKS UK</t>
  </si>
  <si>
    <t>Multi-segment</t>
  </si>
  <si>
    <t>Farfetch</t>
  </si>
  <si>
    <t>FTCH US</t>
  </si>
  <si>
    <t>TED UK</t>
  </si>
  <si>
    <t>SDRY UK</t>
  </si>
  <si>
    <t>Foot Locker</t>
  </si>
  <si>
    <t>VFC US</t>
  </si>
  <si>
    <t>Joules</t>
  </si>
  <si>
    <t>JOUL UK</t>
  </si>
  <si>
    <t>FL US</t>
  </si>
  <si>
    <t>LEVI US</t>
  </si>
  <si>
    <t>Outlet</t>
  </si>
  <si>
    <t>Deliveroo</t>
  </si>
  <si>
    <t>ROO UK</t>
  </si>
  <si>
    <t>Adidas</t>
  </si>
  <si>
    <t>ADS DE</t>
  </si>
  <si>
    <t>Sportswear</t>
  </si>
  <si>
    <t>Nike</t>
  </si>
  <si>
    <t>NKE US</t>
  </si>
  <si>
    <t>Mulberry</t>
  </si>
  <si>
    <t>MUL UK</t>
  </si>
  <si>
    <t>Walmart</t>
  </si>
  <si>
    <t>WMT US</t>
  </si>
  <si>
    <t>GPS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</si>
</sst>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$-409]#,##0"/>
    <numFmt numFmtId="165" formatCode="0\x"/>
    <numFmt numFmtId="166" formatCode="[$$-409]#,##0.00"/>
    <numFmt numFmtId="167" formatCode="&quot;£&quot;#,##0.00"/>
    <numFmt numFmtId="168" formatCode="[$SEK]\ #,##0.00"/>
    <numFmt numFmtId="169" formatCode="#,##0.00\ [$€-1]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/>
    <xf numFmtId="165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1"/>
    <xf numFmtId="165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LVMH.xlsx" TargetMode="External"/><Relationship Id="rId1" Type="http://schemas.openxmlformats.org/officeDocument/2006/relationships/externalLinkPath" Target="LVM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TCH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NXT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LEVI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PVH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L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CPR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BRBY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MK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ASOS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RO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tos\Desktop\Financial%20Analysis\NKE.xlsx" TargetMode="External"/><Relationship Id="rId1" Type="http://schemas.openxmlformats.org/officeDocument/2006/relationships/externalLinkPath" Target="NK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BOO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RAS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BOSS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GES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SDRY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JOU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MUL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ED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CC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RM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T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K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JX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DS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NNM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VF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716.4</v>
          </cell>
          <cell r="E3" t="str">
            <v>06/07/2024 (unfinished)</v>
          </cell>
          <cell r="G3">
            <v>45496</v>
          </cell>
        </row>
        <row r="5">
          <cell r="D5">
            <v>361782</v>
          </cell>
        </row>
        <row r="8">
          <cell r="D8">
            <v>-3011</v>
          </cell>
        </row>
        <row r="9">
          <cell r="D9">
            <v>364793</v>
          </cell>
        </row>
      </sheetData>
      <sheetData sheetId="1">
        <row r="5">
          <cell r="V5">
            <v>35547</v>
          </cell>
        </row>
        <row r="16">
          <cell r="W16">
            <v>4702</v>
          </cell>
          <cell r="X16">
            <v>6347.7990800000061</v>
          </cell>
          <cell r="Y16">
            <v>8187.8139720000027</v>
          </cell>
          <cell r="Z16">
            <v>9598.5505443600032</v>
          </cell>
          <cell r="AA16">
            <v>10902.933937846801</v>
          </cell>
          <cell r="AB16">
            <v>12035.353596853576</v>
          </cell>
        </row>
        <row r="20">
          <cell r="V20">
            <v>0.14615811728526884</v>
          </cell>
          <cell r="W20">
            <v>-0.16804546301471956</v>
          </cell>
        </row>
        <row r="21">
          <cell r="V21">
            <v>0.66232532140860811</v>
          </cell>
        </row>
        <row r="22">
          <cell r="V22">
            <v>0.21004285448108814</v>
          </cell>
        </row>
        <row r="23">
          <cell r="AO23">
            <v>0.05</v>
          </cell>
        </row>
        <row r="29">
          <cell r="AO29">
            <v>-0.32957742772102883</v>
          </cell>
        </row>
        <row r="30">
          <cell r="AO30" t="str">
            <v>Slightly overvalued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37.11</v>
          </cell>
          <cell r="E3">
            <v>44330</v>
          </cell>
          <cell r="G3" t="str">
            <v>August?</v>
          </cell>
        </row>
        <row r="5">
          <cell r="D5">
            <v>13177.761</v>
          </cell>
        </row>
        <row r="8">
          <cell r="D8">
            <v>-2054.2000000000007</v>
          </cell>
        </row>
        <row r="9">
          <cell r="D9">
            <v>15231.961000000001</v>
          </cell>
        </row>
      </sheetData>
      <sheetData sheetId="1">
        <row r="3">
          <cell r="Z3">
            <v>1021.0999999999999</v>
          </cell>
        </row>
        <row r="16">
          <cell r="AA16">
            <v>-3351</v>
          </cell>
          <cell r="AB16">
            <v>-30.863578499999971</v>
          </cell>
          <cell r="AC16">
            <v>-526.33472400000005</v>
          </cell>
          <cell r="AD16">
            <v>-294.29849258999968</v>
          </cell>
          <cell r="AE16">
            <v>75.673934901000536</v>
          </cell>
          <cell r="AF16">
            <v>454.28619061080008</v>
          </cell>
        </row>
        <row r="20">
          <cell r="Z20">
            <v>0.69505312084993354</v>
          </cell>
          <cell r="AA20">
            <v>0.63911468024679263</v>
          </cell>
        </row>
        <row r="21">
          <cell r="Z21">
            <v>0.45039663108412487</v>
          </cell>
        </row>
        <row r="22">
          <cell r="Z22">
            <v>-0.40123396337283329</v>
          </cell>
        </row>
        <row r="23">
          <cell r="AO23">
            <v>7.0000000000000007E-2</v>
          </cell>
        </row>
        <row r="29">
          <cell r="AO29">
            <v>-0.17579359601320499</v>
          </cell>
        </row>
        <row r="30">
          <cell r="AO30" t="str">
            <v>Slightly overvalued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78.84</v>
          </cell>
          <cell r="E3">
            <v>44328</v>
          </cell>
          <cell r="G3">
            <v>44412</v>
          </cell>
        </row>
        <row r="5">
          <cell r="D5">
            <v>10477.836000000001</v>
          </cell>
        </row>
        <row r="8">
          <cell r="D8">
            <v>-643.20000000000005</v>
          </cell>
        </row>
        <row r="9">
          <cell r="D9">
            <v>11121.036000000002</v>
          </cell>
        </row>
      </sheetData>
      <sheetData sheetId="1">
        <row r="3">
          <cell r="S3">
            <v>4266.2</v>
          </cell>
        </row>
        <row r="14">
          <cell r="T14">
            <v>286.70000000000016</v>
          </cell>
          <cell r="U14">
            <v>486.05430500000017</v>
          </cell>
          <cell r="V14">
            <v>605.12292000000014</v>
          </cell>
          <cell r="W14">
            <v>679.52222563200007</v>
          </cell>
          <cell r="X14">
            <v>708.51801240096029</v>
          </cell>
          <cell r="Y14">
            <v>739.93312116938898</v>
          </cell>
        </row>
        <row r="18">
          <cell r="S18">
            <v>2.3707827422373651E-2</v>
          </cell>
          <cell r="T18">
            <v>-0.17153438657353137</v>
          </cell>
        </row>
        <row r="19">
          <cell r="S19">
            <v>0.38453424593314894</v>
          </cell>
        </row>
        <row r="20">
          <cell r="T20">
            <v>0.12562245359891355</v>
          </cell>
        </row>
        <row r="21">
          <cell r="AH21">
            <v>7.0000000000000007E-2</v>
          </cell>
        </row>
        <row r="27">
          <cell r="AH27">
            <v>-6.2034177753387709E-2</v>
          </cell>
        </row>
        <row r="28">
          <cell r="AH28" t="str">
            <v>Fairly valued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23.91</v>
          </cell>
          <cell r="E3">
            <v>44282</v>
          </cell>
          <cell r="G3">
            <v>44390</v>
          </cell>
        </row>
        <row r="5">
          <cell r="D5">
            <v>9525.7439999999988</v>
          </cell>
        </row>
        <row r="8">
          <cell r="D8">
            <v>29.400000000000091</v>
          </cell>
        </row>
        <row r="9">
          <cell r="D9">
            <v>9496.3439999999991</v>
          </cell>
        </row>
      </sheetData>
      <sheetData sheetId="1">
        <row r="3">
          <cell r="AA3">
            <v>5763.1</v>
          </cell>
        </row>
        <row r="14">
          <cell r="AB14">
            <v>-127.29999999999936</v>
          </cell>
          <cell r="AC14">
            <v>192.64119699999998</v>
          </cell>
          <cell r="AD14">
            <v>328.94239735200023</v>
          </cell>
          <cell r="AE14">
            <v>388.85303036963194</v>
          </cell>
          <cell r="AF14">
            <v>445.39479257794653</v>
          </cell>
          <cell r="AG14">
            <v>503.06099974552961</v>
          </cell>
        </row>
        <row r="18">
          <cell r="AA18">
            <v>3.3665745955447246E-2</v>
          </cell>
          <cell r="AB18">
            <v>-0.22739497839704326</v>
          </cell>
        </row>
        <row r="19">
          <cell r="AA19">
            <v>0.53814787180510493</v>
          </cell>
        </row>
        <row r="20">
          <cell r="AA20">
            <v>9.8349846436813548E-2</v>
          </cell>
        </row>
        <row r="21">
          <cell r="AP21">
            <v>7.0000000000000007E-2</v>
          </cell>
        </row>
        <row r="27">
          <cell r="AP27">
            <v>-0.19115467120529295</v>
          </cell>
        </row>
        <row r="28">
          <cell r="AP28" t="str">
            <v>Slightly overvalued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100.98</v>
          </cell>
          <cell r="E3">
            <v>44289</v>
          </cell>
          <cell r="G3">
            <v>44342</v>
          </cell>
        </row>
        <row r="5">
          <cell r="D5">
            <v>7189.7760000000007</v>
          </cell>
        </row>
        <row r="8">
          <cell r="D8">
            <v>-1903.3999999999996</v>
          </cell>
        </row>
        <row r="9">
          <cell r="D9">
            <v>9093.1759999999995</v>
          </cell>
        </row>
      </sheetData>
      <sheetData sheetId="1">
        <row r="3">
          <cell r="U3">
            <v>9909</v>
          </cell>
        </row>
        <row r="14">
          <cell r="V14">
            <v>-202.60000000000051</v>
          </cell>
          <cell r="W14">
            <v>83.286102424884916</v>
          </cell>
          <cell r="X14">
            <v>150.03512642182386</v>
          </cell>
          <cell r="Y14">
            <v>237.50737191137478</v>
          </cell>
          <cell r="Z14">
            <v>302.66567373529102</v>
          </cell>
          <cell r="AA14">
            <v>409.15893155308225</v>
          </cell>
        </row>
        <row r="18">
          <cell r="U18">
            <v>2.6116311821721583E-2</v>
          </cell>
          <cell r="V18">
            <v>-0.2801897265112524</v>
          </cell>
        </row>
        <row r="19">
          <cell r="U19">
            <v>0.54375819961651028</v>
          </cell>
        </row>
        <row r="20">
          <cell r="U20">
            <v>6.8987788878797113E-2</v>
          </cell>
        </row>
        <row r="21">
          <cell r="AI21">
            <v>7.0000000000000007E-2</v>
          </cell>
        </row>
        <row r="27">
          <cell r="AI27">
            <v>-0.43205430167391579</v>
          </cell>
        </row>
        <row r="28">
          <cell r="AI28" t="str">
            <v>Overvalued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122.5</v>
          </cell>
          <cell r="E3">
            <v>44336</v>
          </cell>
          <cell r="G3" t="str">
            <v>August?</v>
          </cell>
        </row>
        <row r="5">
          <cell r="D5">
            <v>8966.9999999999982</v>
          </cell>
        </row>
        <row r="8">
          <cell r="D8">
            <v>1143.5999999999999</v>
          </cell>
        </row>
        <row r="9">
          <cell r="D9">
            <v>7823.3999999999978</v>
          </cell>
        </row>
      </sheetData>
      <sheetData sheetId="1">
        <row r="3">
          <cell r="AA3">
            <v>6159.7999999999993</v>
          </cell>
        </row>
        <row r="16">
          <cell r="AB16">
            <v>-121.09999999999991</v>
          </cell>
          <cell r="AC16">
            <v>330.40700102655353</v>
          </cell>
          <cell r="AD16">
            <v>382.58066301498752</v>
          </cell>
          <cell r="AE16">
            <v>401.34657010401844</v>
          </cell>
          <cell r="AF16">
            <v>419.39842212023763</v>
          </cell>
          <cell r="AG16">
            <v>462.01377905551715</v>
          </cell>
        </row>
        <row r="20">
          <cell r="AA20">
            <v>-2.6626424158146866E-2</v>
          </cell>
          <cell r="AB20">
            <v>-0.28556121952011415</v>
          </cell>
        </row>
        <row r="21">
          <cell r="AA21">
            <v>0.59308743790382801</v>
          </cell>
        </row>
        <row r="22">
          <cell r="AA22">
            <v>5.1316601188350186E-2</v>
          </cell>
        </row>
        <row r="23">
          <cell r="AP23">
            <v>7.0000000000000007E-2</v>
          </cell>
        </row>
        <row r="29">
          <cell r="AP29">
            <v>-0.12941289817966728</v>
          </cell>
        </row>
        <row r="30">
          <cell r="AP30" t="str">
            <v>Slightly overvalued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45.25</v>
          </cell>
          <cell r="E3">
            <v>44231</v>
          </cell>
          <cell r="G3">
            <v>44342</v>
          </cell>
        </row>
        <row r="5">
          <cell r="D5">
            <v>6832.75</v>
          </cell>
        </row>
        <row r="8">
          <cell r="D8">
            <v>-1183</v>
          </cell>
        </row>
        <row r="9">
          <cell r="D9">
            <v>8015.75</v>
          </cell>
        </row>
      </sheetData>
      <sheetData sheetId="1">
        <row r="3">
          <cell r="Q3">
            <v>5551</v>
          </cell>
        </row>
        <row r="18">
          <cell r="R18">
            <v>120.25279999999937</v>
          </cell>
          <cell r="S18">
            <v>409.35277500000024</v>
          </cell>
          <cell r="T18">
            <v>492.11120980000044</v>
          </cell>
          <cell r="U18">
            <v>541.79684392160095</v>
          </cell>
          <cell r="V18">
            <v>592.24472552862767</v>
          </cell>
          <cell r="W18">
            <v>685.89298173377188</v>
          </cell>
        </row>
        <row r="22">
          <cell r="Q22">
            <v>5.975563192058031E-2</v>
          </cell>
          <cell r="R22">
            <v>-0.30600612502251856</v>
          </cell>
        </row>
        <row r="23">
          <cell r="Q23">
            <v>0.58926319582057285</v>
          </cell>
        </row>
        <row r="24">
          <cell r="Q24">
            <v>-3.4588362457214916E-2</v>
          </cell>
        </row>
        <row r="25">
          <cell r="AE25">
            <v>7.0000000000000007E-2</v>
          </cell>
        </row>
        <row r="31">
          <cell r="AE31">
            <v>0.13935397179267239</v>
          </cell>
        </row>
        <row r="32">
          <cell r="AE32" t="str">
            <v>Slightly undervalued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20.190000000000001</v>
          </cell>
          <cell r="E3">
            <v>44329</v>
          </cell>
          <cell r="G3" t="str">
            <v>August?</v>
          </cell>
        </row>
        <row r="5">
          <cell r="D5">
            <v>8178.969000000001</v>
          </cell>
        </row>
        <row r="8">
          <cell r="D8">
            <v>918.8</v>
          </cell>
        </row>
        <row r="9">
          <cell r="D9">
            <v>7260.1690000000008</v>
          </cell>
        </row>
      </sheetData>
      <sheetData sheetId="1">
        <row r="3">
          <cell r="R3">
            <v>2720.2</v>
          </cell>
        </row>
        <row r="14">
          <cell r="T14">
            <v>375.99999999999983</v>
          </cell>
          <cell r="U14">
            <v>425.65764487500013</v>
          </cell>
          <cell r="V14">
            <v>467.50488039749996</v>
          </cell>
          <cell r="W14">
            <v>501.98352458294983</v>
          </cell>
          <cell r="X14">
            <v>531.90331156215871</v>
          </cell>
          <cell r="Y14">
            <v>545.81130012315293</v>
          </cell>
        </row>
        <row r="18">
          <cell r="S18">
            <v>-3.2019704433497553E-2</v>
          </cell>
          <cell r="T18">
            <v>-0.10979453875659861</v>
          </cell>
        </row>
        <row r="19">
          <cell r="R19">
            <v>0.68406734798911839</v>
          </cell>
        </row>
        <row r="20">
          <cell r="R20">
            <v>0.16072347621498415</v>
          </cell>
        </row>
        <row r="21">
          <cell r="AF21">
            <v>7.0000000000000007E-2</v>
          </cell>
        </row>
        <row r="27">
          <cell r="AF27">
            <v>5.9708696159261887E-3</v>
          </cell>
        </row>
        <row r="28">
          <cell r="AF28" t="str">
            <v>Fairly valued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1.4155</v>
          </cell>
          <cell r="E3">
            <v>44231</v>
          </cell>
          <cell r="G3">
            <v>44342</v>
          </cell>
        </row>
        <row r="5">
          <cell r="D5">
            <v>2762.6313500000001</v>
          </cell>
        </row>
        <row r="8">
          <cell r="D8">
            <v>-3748.2</v>
          </cell>
        </row>
        <row r="9">
          <cell r="D9">
            <v>6510.8313500000004</v>
          </cell>
        </row>
      </sheetData>
      <sheetData sheetId="1">
        <row r="6">
          <cell r="K6">
            <v>10377.300000000001</v>
          </cell>
        </row>
        <row r="18">
          <cell r="L18">
            <v>23.699999999999367</v>
          </cell>
          <cell r="M18">
            <v>-194.4065770000004</v>
          </cell>
          <cell r="N18">
            <v>78.595820367299467</v>
          </cell>
          <cell r="O18">
            <v>171.48751634666732</v>
          </cell>
          <cell r="P18">
            <v>182.66556359255412</v>
          </cell>
          <cell r="Q18">
            <v>209.91415220073677</v>
          </cell>
        </row>
        <row r="25">
          <cell r="K25">
            <v>-2.999570021125042E-2</v>
          </cell>
          <cell r="L25">
            <v>-1.8829560675705737E-2</v>
          </cell>
        </row>
        <row r="26">
          <cell r="K26">
            <v>0.3680244379559231</v>
          </cell>
        </row>
        <row r="27">
          <cell r="K27">
            <v>2.872616191109454E-2</v>
          </cell>
        </row>
        <row r="28">
          <cell r="Y28">
            <v>7.0000000000000007E-2</v>
          </cell>
        </row>
        <row r="34">
          <cell r="Y34">
            <v>-0.70503265103987556</v>
          </cell>
        </row>
        <row r="35">
          <cell r="Y35" t="str">
            <v>Heavily overvalued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40.53</v>
          </cell>
          <cell r="E3">
            <v>44414</v>
          </cell>
          <cell r="G3">
            <v>44482</v>
          </cell>
        </row>
        <row r="5">
          <cell r="D5">
            <v>4036.788</v>
          </cell>
        </row>
        <row r="8">
          <cell r="D8">
            <v>92</v>
          </cell>
        </row>
        <row r="9">
          <cell r="D9">
            <v>3944.788</v>
          </cell>
        </row>
      </sheetData>
      <sheetData sheetId="1">
        <row r="3">
          <cell r="N3">
            <v>2733.5</v>
          </cell>
        </row>
        <row r="13">
          <cell r="O13">
            <v>113.30000000000014</v>
          </cell>
          <cell r="P13">
            <v>198.33847199999983</v>
          </cell>
          <cell r="Q13">
            <v>285.76425305400005</v>
          </cell>
          <cell r="R13">
            <v>380.56492102427984</v>
          </cell>
          <cell r="S13">
            <v>428.70506956677923</v>
          </cell>
          <cell r="T13">
            <v>462.05326094997832</v>
          </cell>
        </row>
        <row r="17">
          <cell r="N17">
            <v>0.13080709882927222</v>
          </cell>
          <cell r="O17">
            <v>0.19389061642582761</v>
          </cell>
        </row>
        <row r="18">
          <cell r="N18">
            <v>0.48812877263581489</v>
          </cell>
        </row>
        <row r="19">
          <cell r="N19">
            <v>1.2840680446314217E-2</v>
          </cell>
        </row>
        <row r="20">
          <cell r="AB20">
            <v>7.0000000000000007E-2</v>
          </cell>
        </row>
        <row r="26">
          <cell r="AB26">
            <v>0.6147884017663674</v>
          </cell>
        </row>
        <row r="27">
          <cell r="AB27" t="str">
            <v>Heavily undervalued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3.6</v>
          </cell>
          <cell r="E3">
            <v>44420</v>
          </cell>
          <cell r="G3" t="str">
            <v>?</v>
          </cell>
        </row>
        <row r="5">
          <cell r="D5">
            <v>5496.48</v>
          </cell>
        </row>
        <row r="8">
          <cell r="D8">
            <v>1626.7</v>
          </cell>
        </row>
        <row r="9">
          <cell r="D9">
            <v>3869.7799999999997</v>
          </cell>
        </row>
      </sheetData>
      <sheetData sheetId="1">
        <row r="3">
          <cell r="I3">
            <v>771.8</v>
          </cell>
        </row>
        <row r="14">
          <cell r="J14">
            <v>-226.40000000000003</v>
          </cell>
          <cell r="K14">
            <v>-148.64088000000027</v>
          </cell>
          <cell r="L14">
            <v>-58.530304000000008</v>
          </cell>
          <cell r="M14">
            <v>74.169723179999863</v>
          </cell>
          <cell r="N14">
            <v>148.84614342619989</v>
          </cell>
          <cell r="O14">
            <v>225.36052955215987</v>
          </cell>
        </row>
        <row r="18">
          <cell r="I18">
            <v>0.62074758504829908</v>
          </cell>
          <cell r="J18">
            <v>0.54288675822752008</v>
          </cell>
        </row>
        <row r="19">
          <cell r="I19">
            <v>0.24436382482508412</v>
          </cell>
        </row>
        <row r="20">
          <cell r="I20">
            <v>-0.41448561803576073</v>
          </cell>
        </row>
        <row r="21">
          <cell r="X21">
            <v>7.0000000000000007E-2</v>
          </cell>
        </row>
        <row r="27">
          <cell r="X27">
            <v>8.4177669736136052E-2</v>
          </cell>
        </row>
        <row r="28">
          <cell r="X28" t="str">
            <v>Fairly valued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D3">
            <v>75.37</v>
          </cell>
          <cell r="E3">
            <v>45474</v>
          </cell>
          <cell r="G3">
            <v>45559</v>
          </cell>
        </row>
        <row r="5">
          <cell r="D5">
            <v>113657.96</v>
          </cell>
        </row>
        <row r="8">
          <cell r="D8">
            <v>2673</v>
          </cell>
        </row>
        <row r="9">
          <cell r="D9">
            <v>110984.96000000001</v>
          </cell>
        </row>
      </sheetData>
      <sheetData sheetId="1">
        <row r="3">
          <cell r="AM3">
            <v>37403</v>
          </cell>
        </row>
        <row r="13">
          <cell r="AN13">
            <v>5727</v>
          </cell>
          <cell r="AO13">
            <v>6046</v>
          </cell>
          <cell r="AP13">
            <v>5070</v>
          </cell>
          <cell r="AQ13">
            <v>5700</v>
          </cell>
          <cell r="AR13">
            <v>5243.2296860000015</v>
          </cell>
          <cell r="AS13">
            <v>6220.1101678800005</v>
          </cell>
        </row>
        <row r="17">
          <cell r="AM17">
            <v>-4.3817266150267153E-2</v>
          </cell>
          <cell r="AN17">
            <v>0.19076009945726269</v>
          </cell>
        </row>
        <row r="18">
          <cell r="AM18">
            <v>0.43421650669732376</v>
          </cell>
        </row>
        <row r="19">
          <cell r="AM19">
            <v>8.3282089671951443E-2</v>
          </cell>
        </row>
        <row r="20">
          <cell r="BE20">
            <v>0.06</v>
          </cell>
        </row>
        <row r="26">
          <cell r="BE26">
            <v>-0.1035119915356798</v>
          </cell>
        </row>
        <row r="27">
          <cell r="BE27" t="str">
            <v>Slightly overvalued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54.44</v>
          </cell>
          <cell r="E3">
            <v>44414</v>
          </cell>
          <cell r="G3">
            <v>44428</v>
          </cell>
        </row>
        <row r="5">
          <cell r="D5">
            <v>5634.54</v>
          </cell>
        </row>
        <row r="8">
          <cell r="D8">
            <v>2196</v>
          </cell>
        </row>
        <row r="9">
          <cell r="D9">
            <v>3438.54</v>
          </cell>
        </row>
      </sheetData>
      <sheetData sheetId="1">
        <row r="3">
          <cell r="Z3">
            <v>8005</v>
          </cell>
        </row>
        <row r="14">
          <cell r="AA14">
            <v>323</v>
          </cell>
          <cell r="AB14">
            <v>493.88965000000053</v>
          </cell>
          <cell r="AC14">
            <v>493.78695040000025</v>
          </cell>
          <cell r="AD14">
            <v>516.41126691199997</v>
          </cell>
          <cell r="AE14">
            <v>532.32689254024024</v>
          </cell>
          <cell r="AF14">
            <v>548.06157472394511</v>
          </cell>
        </row>
        <row r="18">
          <cell r="Z18">
            <v>8.3133895956668535E-3</v>
          </cell>
          <cell r="AA18">
            <v>-5.7089319175515296E-2</v>
          </cell>
        </row>
        <row r="19">
          <cell r="Z19">
            <v>0.31767645221736412</v>
          </cell>
        </row>
        <row r="20">
          <cell r="Z20">
            <v>8.1074328544659582E-2</v>
          </cell>
        </row>
        <row r="21">
          <cell r="AO21">
            <v>7.0000000000000007E-2</v>
          </cell>
        </row>
        <row r="27">
          <cell r="AO27">
            <v>0.69257009121192681</v>
          </cell>
        </row>
        <row r="28">
          <cell r="AO28" t="str">
            <v>Heavily undervalued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2.6707000000000001</v>
          </cell>
          <cell r="E3">
            <v>44414</v>
          </cell>
          <cell r="G3">
            <v>44468</v>
          </cell>
        </row>
        <row r="5">
          <cell r="D5">
            <v>3373.8953099999999</v>
          </cell>
        </row>
        <row r="8">
          <cell r="D8">
            <v>199.6</v>
          </cell>
        </row>
        <row r="9">
          <cell r="D9">
            <v>3174.29531</v>
          </cell>
        </row>
      </sheetData>
      <sheetData sheetId="1">
        <row r="3">
          <cell r="P3">
            <v>856.9</v>
          </cell>
        </row>
        <row r="15">
          <cell r="Q15">
            <v>63.700000000000045</v>
          </cell>
          <cell r="R15">
            <v>90.699999999999918</v>
          </cell>
          <cell r="S15">
            <v>130.4024672000001</v>
          </cell>
          <cell r="T15">
            <v>169.06364251200009</v>
          </cell>
          <cell r="U15">
            <v>217.71532383360008</v>
          </cell>
          <cell r="V15">
            <v>239.43103634496006</v>
          </cell>
        </row>
        <row r="19">
          <cell r="P19">
            <v>0.47792342186961023</v>
          </cell>
          <cell r="Q19">
            <v>0.44112498541253364</v>
          </cell>
        </row>
        <row r="20">
          <cell r="P20">
            <v>0.54732174115999532</v>
          </cell>
        </row>
        <row r="21">
          <cell r="P21">
            <v>6.8152643248920508E-2</v>
          </cell>
        </row>
        <row r="22">
          <cell r="AD22">
            <v>7.0000000000000007E-2</v>
          </cell>
        </row>
        <row r="28">
          <cell r="AD28">
            <v>0.30635127186451561</v>
          </cell>
        </row>
        <row r="29">
          <cell r="AD29" t="str">
            <v>Undervalued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5.1260000000000003</v>
          </cell>
          <cell r="E3">
            <v>44314</v>
          </cell>
          <cell r="G3">
            <v>44426</v>
          </cell>
        </row>
        <row r="5">
          <cell r="D5">
            <v>2572.9956999999999</v>
          </cell>
        </row>
        <row r="8">
          <cell r="D8">
            <v>-273.59999999999991</v>
          </cell>
        </row>
        <row r="9">
          <cell r="D9">
            <v>2846.5956999999999</v>
          </cell>
        </row>
      </sheetData>
      <sheetData sheetId="1">
        <row r="3">
          <cell r="K3">
            <v>3701.9</v>
          </cell>
        </row>
        <row r="19">
          <cell r="L19">
            <v>93.800000000000111</v>
          </cell>
          <cell r="M19">
            <v>55.037435000000372</v>
          </cell>
          <cell r="N19">
            <v>51.007228399999846</v>
          </cell>
          <cell r="O19">
            <v>88.324234017599892</v>
          </cell>
          <cell r="P19">
            <v>136.44111789800246</v>
          </cell>
          <cell r="Q19">
            <v>197.83815404990997</v>
          </cell>
        </row>
        <row r="23">
          <cell r="K23">
            <v>0.10191992856079768</v>
          </cell>
          <cell r="L23">
            <v>6.9018612064075224E-2</v>
          </cell>
        </row>
        <row r="24">
          <cell r="K24">
            <v>0.42775331586482618</v>
          </cell>
        </row>
        <row r="25">
          <cell r="K25">
            <v>0.1013577518155985</v>
          </cell>
        </row>
        <row r="26">
          <cell r="Y26">
            <v>7.0000000000000007E-2</v>
          </cell>
        </row>
        <row r="32">
          <cell r="Y32">
            <v>0.28587799282885329</v>
          </cell>
        </row>
        <row r="33">
          <cell r="Y33" t="str">
            <v>Slightly undervalued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52.12</v>
          </cell>
          <cell r="E3">
            <v>44420</v>
          </cell>
          <cell r="G3">
            <v>44504</v>
          </cell>
        </row>
        <row r="5">
          <cell r="D5">
            <v>3669.248</v>
          </cell>
        </row>
        <row r="8">
          <cell r="D8">
            <v>-151</v>
          </cell>
        </row>
        <row r="9">
          <cell r="D9">
            <v>3820.248</v>
          </cell>
        </row>
      </sheetData>
      <sheetData sheetId="1">
        <row r="3">
          <cell r="Z3">
            <v>2884</v>
          </cell>
        </row>
        <row r="12">
          <cell r="AA12">
            <v>-219.20000000000022</v>
          </cell>
          <cell r="AB12">
            <v>88.993949999999515</v>
          </cell>
          <cell r="AC12">
            <v>176.57354399999997</v>
          </cell>
          <cell r="AD12">
            <v>253.07252991999985</v>
          </cell>
          <cell r="AE12">
            <v>281.00328334400007</v>
          </cell>
          <cell r="AF12">
            <v>301.886219923792</v>
          </cell>
        </row>
        <row r="16">
          <cell r="Z16">
            <v>3.1473533619456262E-2</v>
          </cell>
          <cell r="AA16">
            <v>-0.32531206657420253</v>
          </cell>
        </row>
        <row r="17">
          <cell r="Z17">
            <v>0.65013869625520115</v>
          </cell>
        </row>
        <row r="18">
          <cell r="Z18">
            <v>0.11858529819694869</v>
          </cell>
        </row>
        <row r="19">
          <cell r="AN19">
            <v>7.0000000000000007E-2</v>
          </cell>
        </row>
        <row r="25">
          <cell r="AN25">
            <v>0.15709054200584593</v>
          </cell>
        </row>
        <row r="26">
          <cell r="AN26" t="str">
            <v>Slightly undervalued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23.12</v>
          </cell>
          <cell r="E3">
            <v>44420</v>
          </cell>
          <cell r="G3">
            <v>44440</v>
          </cell>
        </row>
        <row r="5">
          <cell r="D5">
            <v>1500.4880000000003</v>
          </cell>
        </row>
        <row r="8">
          <cell r="D8">
            <v>28.900000000000034</v>
          </cell>
        </row>
        <row r="9">
          <cell r="D9">
            <v>1471.5880000000002</v>
          </cell>
        </row>
      </sheetData>
      <sheetData sheetId="1">
        <row r="3">
          <cell r="U3">
            <v>2678.1000000000004</v>
          </cell>
        </row>
        <row r="16">
          <cell r="V16">
            <v>-79.44800000000015</v>
          </cell>
          <cell r="W16">
            <v>101.0614097889281</v>
          </cell>
          <cell r="X16">
            <v>108.57164350858073</v>
          </cell>
          <cell r="Y16">
            <v>118.89691834163902</v>
          </cell>
          <cell r="Z16">
            <v>150.1629365539747</v>
          </cell>
          <cell r="AA16">
            <v>158.95136599485969</v>
          </cell>
        </row>
        <row r="20">
          <cell r="U20">
            <v>2.0189707058778872E-2</v>
          </cell>
          <cell r="V20">
            <v>-0.29927933983047694</v>
          </cell>
        </row>
        <row r="21">
          <cell r="U21">
            <v>0.37926141667600177</v>
          </cell>
        </row>
        <row r="22">
          <cell r="U22">
            <v>5.2537246555393928E-2</v>
          </cell>
        </row>
        <row r="23">
          <cell r="AJ23">
            <v>0.08</v>
          </cell>
        </row>
        <row r="29">
          <cell r="AJ29">
            <v>0.34018971080534643</v>
          </cell>
        </row>
        <row r="30">
          <cell r="AJ30" t="str">
            <v>Undervalued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3.8</v>
          </cell>
          <cell r="E3">
            <v>44420</v>
          </cell>
          <cell r="G3">
            <v>44468</v>
          </cell>
        </row>
        <row r="5">
          <cell r="D5">
            <v>311.97999999999996</v>
          </cell>
        </row>
        <row r="8">
          <cell r="D8">
            <v>27.000000000000004</v>
          </cell>
        </row>
        <row r="9">
          <cell r="D9">
            <v>284.97999999999996</v>
          </cell>
        </row>
      </sheetData>
      <sheetData sheetId="1">
        <row r="3">
          <cell r="P3">
            <v>704.4</v>
          </cell>
        </row>
        <row r="13">
          <cell r="Q13">
            <v>-187.27359999999993</v>
          </cell>
          <cell r="R13">
            <v>9.1225600000000533</v>
          </cell>
          <cell r="S13">
            <v>21.122176000000088</v>
          </cell>
          <cell r="T13">
            <v>29.690712320000092</v>
          </cell>
          <cell r="U13">
            <v>34.583359705600088</v>
          </cell>
          <cell r="V13">
            <v>35.584291158656058</v>
          </cell>
        </row>
        <row r="17">
          <cell r="P17">
            <v>-0.19192382700470356</v>
          </cell>
          <cell r="Q17">
            <v>-0.20954003407155031</v>
          </cell>
        </row>
        <row r="18">
          <cell r="P18">
            <v>0.53648495173197042</v>
          </cell>
        </row>
        <row r="19">
          <cell r="P19">
            <v>-0.22629187961385583</v>
          </cell>
        </row>
        <row r="20">
          <cell r="AD20">
            <v>0.09</v>
          </cell>
        </row>
        <row r="26">
          <cell r="AD26">
            <v>-0.41684611553599948</v>
          </cell>
        </row>
        <row r="27">
          <cell r="AD27" t="str">
            <v>Heavily overvalued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2.65</v>
          </cell>
          <cell r="E3">
            <v>44420</v>
          </cell>
          <cell r="G3" t="str">
            <v>January?</v>
          </cell>
        </row>
        <row r="5">
          <cell r="D5">
            <v>294.68</v>
          </cell>
        </row>
        <row r="8">
          <cell r="D8">
            <v>4.0999999999999996</v>
          </cell>
        </row>
        <row r="9">
          <cell r="D9">
            <v>290.58</v>
          </cell>
        </row>
      </sheetData>
      <sheetData sheetId="1">
        <row r="3">
          <cell r="Q3">
            <v>218</v>
          </cell>
        </row>
        <row r="11">
          <cell r="R11">
            <v>-20.799999999999983</v>
          </cell>
          <cell r="S11">
            <v>0.79999999999999982</v>
          </cell>
          <cell r="T11">
            <v>2.1576170000000006</v>
          </cell>
          <cell r="U11">
            <v>6.5612843999999839</v>
          </cell>
          <cell r="V11">
            <v>9.9032996799999644</v>
          </cell>
          <cell r="W11">
            <v>14.688321466799994</v>
          </cell>
        </row>
        <row r="15">
          <cell r="Q15">
            <v>0.17267348036578811</v>
          </cell>
          <cell r="R15">
            <v>-0.12477064220183476</v>
          </cell>
        </row>
        <row r="16">
          <cell r="Q16">
            <v>0.54770642201834863</v>
          </cell>
        </row>
        <row r="17">
          <cell r="Q17">
            <v>6.0091743119266093E-2</v>
          </cell>
        </row>
        <row r="18">
          <cell r="AF18">
            <v>0.1</v>
          </cell>
        </row>
        <row r="24">
          <cell r="AF24">
            <v>-0.38082184550693621</v>
          </cell>
        </row>
        <row r="25">
          <cell r="AF25" t="str">
            <v>Overvalued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3.23</v>
          </cell>
          <cell r="E3">
            <v>44420</v>
          </cell>
          <cell r="G3" t="str">
            <v>November?</v>
          </cell>
        </row>
        <row r="5">
          <cell r="D5">
            <v>192.185</v>
          </cell>
        </row>
        <row r="8">
          <cell r="D8">
            <v>7.2</v>
          </cell>
        </row>
        <row r="9">
          <cell r="D9">
            <v>184.98500000000001</v>
          </cell>
        </row>
      </sheetData>
      <sheetData sheetId="1">
        <row r="3">
          <cell r="U3">
            <v>166.3</v>
          </cell>
        </row>
        <row r="16">
          <cell r="V16">
            <v>-43.999999999999979</v>
          </cell>
          <cell r="W16">
            <v>4.3999999999999986</v>
          </cell>
          <cell r="X16">
            <v>1.0843350000000069</v>
          </cell>
          <cell r="Y16">
            <v>7.5307168300000065</v>
          </cell>
          <cell r="Z16">
            <v>10.647710536400007</v>
          </cell>
          <cell r="AA16">
            <v>11.628096063220013</v>
          </cell>
        </row>
        <row r="20">
          <cell r="V20">
            <v>-0.10222489476849073</v>
          </cell>
          <cell r="W20">
            <v>-0.22973878097789691</v>
          </cell>
        </row>
        <row r="21">
          <cell r="U21">
            <v>0.61515333734215272</v>
          </cell>
        </row>
        <row r="22">
          <cell r="U22">
            <v>-3.0066145520144277E-2</v>
          </cell>
        </row>
        <row r="23">
          <cell r="AJ23">
            <v>0.1</v>
          </cell>
        </row>
        <row r="29">
          <cell r="AJ29">
            <v>-0.33191218096567465</v>
          </cell>
        </row>
        <row r="30">
          <cell r="AJ30" t="str">
            <v>Overvalued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1.359</v>
          </cell>
          <cell r="E3">
            <v>44414</v>
          </cell>
          <cell r="G3">
            <v>44446</v>
          </cell>
        </row>
        <row r="5">
          <cell r="D5">
            <v>209.15010000000001</v>
          </cell>
        </row>
        <row r="8">
          <cell r="D8">
            <v>66.7</v>
          </cell>
        </row>
        <row r="9">
          <cell r="D9">
            <v>142.45010000000002</v>
          </cell>
        </row>
      </sheetData>
      <sheetData sheetId="1">
        <row r="3">
          <cell r="M3">
            <v>630.5</v>
          </cell>
        </row>
        <row r="15">
          <cell r="N15">
            <v>-86.299999999999983</v>
          </cell>
          <cell r="O15">
            <v>-51.920400000000001</v>
          </cell>
          <cell r="P15">
            <v>2.5738803000000061</v>
          </cell>
          <cell r="Q15">
            <v>6.7049242830000146</v>
          </cell>
          <cell r="R15">
            <v>8.8962762453300108</v>
          </cell>
          <cell r="S15">
            <v>10.069960158325822</v>
          </cell>
        </row>
        <row r="19">
          <cell r="M19">
            <v>-1.4227642276422814E-2</v>
          </cell>
          <cell r="N19">
            <v>-0.44171292624900871</v>
          </cell>
        </row>
        <row r="20">
          <cell r="M20">
            <v>0.48707375099127681</v>
          </cell>
        </row>
        <row r="21">
          <cell r="M21">
            <v>-9.8651863600317177E-2</v>
          </cell>
        </row>
        <row r="22">
          <cell r="AA22">
            <v>0.11</v>
          </cell>
        </row>
        <row r="28">
          <cell r="AA28">
            <v>-0.53234688884605774</v>
          </cell>
        </row>
        <row r="29">
          <cell r="AA29" t="str">
            <v>Heavily overvalued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0.1898</v>
          </cell>
          <cell r="E3">
            <v>44414</v>
          </cell>
          <cell r="G3">
            <v>44481</v>
          </cell>
        </row>
        <row r="5">
          <cell r="D5">
            <v>18.334679999999999</v>
          </cell>
        </row>
        <row r="8">
          <cell r="D8">
            <v>-1.2999999999999998</v>
          </cell>
        </row>
        <row r="9">
          <cell r="D9">
            <v>19.634679999999999</v>
          </cell>
        </row>
      </sheetData>
      <sheetData sheetId="1">
        <row r="3">
          <cell r="T3">
            <v>119.9</v>
          </cell>
        </row>
        <row r="13">
          <cell r="U13">
            <v>-11.700000000000005</v>
          </cell>
          <cell r="V13">
            <v>-2.4170999999999907</v>
          </cell>
          <cell r="W13">
            <v>1.1344800000000044</v>
          </cell>
          <cell r="X13">
            <v>2.2268539999999986</v>
          </cell>
          <cell r="Y13">
            <v>2.8371353699999995</v>
          </cell>
          <cell r="Z13">
            <v>3.4478394224000004</v>
          </cell>
        </row>
        <row r="17">
          <cell r="T17">
            <v>-0.11382113821138218</v>
          </cell>
          <cell r="U17">
            <v>-0.40366972477064222</v>
          </cell>
        </row>
        <row r="18">
          <cell r="S18">
            <v>0.4227642276422765</v>
          </cell>
        </row>
        <row r="19">
          <cell r="S19">
            <v>-6.356245380635607E-2</v>
          </cell>
        </row>
        <row r="20">
          <cell r="AG20">
            <v>0.12</v>
          </cell>
        </row>
        <row r="26">
          <cell r="AG26">
            <v>0.26523031448975987</v>
          </cell>
        </row>
        <row r="27">
          <cell r="AG27" t="str">
            <v>Slightly undervalued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1049.08</v>
          </cell>
          <cell r="E3">
            <v>44312</v>
          </cell>
          <cell r="G3">
            <v>44407</v>
          </cell>
        </row>
        <row r="5">
          <cell r="D5">
            <v>110750.32651999999</v>
          </cell>
        </row>
        <row r="8">
          <cell r="D8">
            <v>4738.6000000000004</v>
          </cell>
        </row>
        <row r="9">
          <cell r="D9">
            <v>106011.72651999998</v>
          </cell>
        </row>
      </sheetData>
      <sheetData sheetId="1">
        <row r="3">
          <cell r="M3">
            <v>6883.4</v>
          </cell>
        </row>
        <row r="13">
          <cell r="N13">
            <v>1375.3999999999994</v>
          </cell>
          <cell r="O13">
            <v>1829.0136100000002</v>
          </cell>
          <cell r="P13">
            <v>2275.2801891999993</v>
          </cell>
          <cell r="Q13">
            <v>2677.9631478159999</v>
          </cell>
          <cell r="R13">
            <v>3007.0582252506406</v>
          </cell>
          <cell r="S13">
            <v>3250.5558565673587</v>
          </cell>
        </row>
        <row r="17">
          <cell r="M17">
            <v>0.15375203231591805</v>
          </cell>
          <cell r="N17">
            <v>-7.1766859400877459E-2</v>
          </cell>
        </row>
        <row r="18">
          <cell r="M18">
            <v>0.69130081064590176</v>
          </cell>
        </row>
        <row r="19">
          <cell r="M19">
            <v>0.3397739489205916</v>
          </cell>
        </row>
        <row r="20">
          <cell r="AA20">
            <v>0.06</v>
          </cell>
        </row>
        <row r="26">
          <cell r="AA26">
            <v>-0.468088241988178</v>
          </cell>
        </row>
        <row r="27">
          <cell r="AA27" t="str">
            <v>Overvalued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31.81</v>
          </cell>
          <cell r="E3">
            <v>44336</v>
          </cell>
          <cell r="G3">
            <v>44356</v>
          </cell>
        </row>
        <row r="5">
          <cell r="D5">
            <v>99084.968999999997</v>
          </cell>
        </row>
        <row r="8">
          <cell r="D8">
            <v>7821</v>
          </cell>
        </row>
        <row r="9">
          <cell r="D9">
            <v>91263.968999999997</v>
          </cell>
        </row>
      </sheetData>
      <sheetData sheetId="1">
        <row r="3">
          <cell r="AE3">
            <v>28286</v>
          </cell>
        </row>
        <row r="13">
          <cell r="AF13">
            <v>1105</v>
          </cell>
          <cell r="AG13">
            <v>2447.236506000002</v>
          </cell>
          <cell r="AH13">
            <v>3288.5182434000017</v>
          </cell>
          <cell r="AI13">
            <v>3964.323403872002</v>
          </cell>
          <cell r="AJ13">
            <v>4307.8303576776052</v>
          </cell>
          <cell r="AK13">
            <v>4669.9714401818446</v>
          </cell>
        </row>
        <row r="17">
          <cell r="AE17">
            <v>8.1848083836915775E-2</v>
          </cell>
          <cell r="AF17">
            <v>-0.27872445732871387</v>
          </cell>
        </row>
        <row r="18">
          <cell r="AE18">
            <v>0.55882768860920595</v>
          </cell>
        </row>
        <row r="19">
          <cell r="AE19">
            <v>0.16867001343420773</v>
          </cell>
        </row>
        <row r="20">
          <cell r="AS20">
            <v>0.06</v>
          </cell>
        </row>
        <row r="26">
          <cell r="AS26">
            <v>-0.15213785269085034</v>
          </cell>
        </row>
        <row r="27">
          <cell r="AS27" t="str">
            <v>Slightly overvalued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712.02</v>
          </cell>
          <cell r="E3">
            <v>44336</v>
          </cell>
          <cell r="G3">
            <v>44404</v>
          </cell>
        </row>
        <row r="5">
          <cell r="D5">
            <v>88931.297999999995</v>
          </cell>
        </row>
        <row r="8">
          <cell r="D8">
            <v>-1900.6000000000004</v>
          </cell>
        </row>
        <row r="9">
          <cell r="D9">
            <v>90831.898000000001</v>
          </cell>
        </row>
      </sheetData>
      <sheetData sheetId="1">
        <row r="3">
          <cell r="M3">
            <v>15883.5</v>
          </cell>
        </row>
        <row r="13">
          <cell r="N13">
            <v>2160.6000000000008</v>
          </cell>
          <cell r="O13">
            <v>2791.2902850000014</v>
          </cell>
          <cell r="P13">
            <v>3338.8102663499994</v>
          </cell>
          <cell r="Q13">
            <v>3842.9359207215025</v>
          </cell>
          <cell r="R13">
            <v>4197.8157031047913</v>
          </cell>
          <cell r="S13">
            <v>4551.9946949643509</v>
          </cell>
        </row>
        <row r="17">
          <cell r="M17">
            <v>0.16233205514738169</v>
          </cell>
          <cell r="N17">
            <v>-0.17523215915887547</v>
          </cell>
        </row>
        <row r="18">
          <cell r="M18">
            <v>0.74133534800264422</v>
          </cell>
        </row>
        <row r="19">
          <cell r="M19">
            <v>0.29022570592123909</v>
          </cell>
        </row>
        <row r="20">
          <cell r="AA20">
            <v>0.06</v>
          </cell>
        </row>
        <row r="26">
          <cell r="AA26">
            <v>-0.1892687656774894</v>
          </cell>
        </row>
        <row r="27">
          <cell r="AA27" t="str">
            <v>Slightly overvalued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71.13</v>
          </cell>
          <cell r="E3">
            <v>44335</v>
          </cell>
          <cell r="G3">
            <v>44432</v>
          </cell>
        </row>
        <row r="5">
          <cell r="D5">
            <v>86885.294999999998</v>
          </cell>
        </row>
        <row r="8">
          <cell r="D8">
            <v>3440.6000000000004</v>
          </cell>
        </row>
        <row r="9">
          <cell r="D9">
            <v>83444.694999999992</v>
          </cell>
        </row>
      </sheetData>
      <sheetData sheetId="1">
        <row r="3">
          <cell r="V3">
            <v>11380.928000000002</v>
          </cell>
        </row>
        <row r="11">
          <cell r="AA11">
            <v>90.400000000002905</v>
          </cell>
          <cell r="AB11">
            <v>2587.9830200999963</v>
          </cell>
          <cell r="AC11">
            <v>3633.0643525177284</v>
          </cell>
          <cell r="AD11">
            <v>4231.0783529754417</v>
          </cell>
          <cell r="AE11">
            <v>4727.2582321622904</v>
          </cell>
          <cell r="AF11">
            <v>5136.2371380739123</v>
          </cell>
        </row>
        <row r="15">
          <cell r="Z15">
            <v>7.0410464707527431E-2</v>
          </cell>
          <cell r="AA15">
            <v>-0.22964259174916701</v>
          </cell>
        </row>
        <row r="16">
          <cell r="Z16">
            <v>0.28456504542512645</v>
          </cell>
        </row>
        <row r="17">
          <cell r="Z17">
            <v>0.10586331711292758</v>
          </cell>
        </row>
        <row r="18">
          <cell r="AN18">
            <v>0.06</v>
          </cell>
        </row>
        <row r="24">
          <cell r="AN24">
            <v>5.1982489296609202E-5</v>
          </cell>
        </row>
        <row r="25">
          <cell r="AN25" t="str">
            <v>Fairly valued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286.91000000000003</v>
          </cell>
          <cell r="E3">
            <v>44328</v>
          </cell>
          <cell r="G3">
            <v>44413</v>
          </cell>
        </row>
        <row r="5">
          <cell r="D5">
            <v>56693.416000000005</v>
          </cell>
        </row>
        <row r="8">
          <cell r="D8">
            <v>305</v>
          </cell>
        </row>
        <row r="9">
          <cell r="D9">
            <v>56388.416000000005</v>
          </cell>
        </row>
      </sheetData>
      <sheetData sheetId="1">
        <row r="3">
          <cell r="R3">
            <v>23640</v>
          </cell>
        </row>
        <row r="14">
          <cell r="S14">
            <v>429</v>
          </cell>
          <cell r="T14">
            <v>1697.4099107573729</v>
          </cell>
          <cell r="U14">
            <v>2156.5477862459602</v>
          </cell>
          <cell r="V14">
            <v>2438.182736170882</v>
          </cell>
          <cell r="W14">
            <v>2655.6771660842987</v>
          </cell>
          <cell r="X14">
            <v>2933.8659986494854</v>
          </cell>
        </row>
        <row r="18">
          <cell r="S18">
            <v>-0.16057529610829102</v>
          </cell>
        </row>
        <row r="19">
          <cell r="R19">
            <v>0.52000846023688663</v>
          </cell>
        </row>
        <row r="20">
          <cell r="R20">
            <v>0.11252115059221658</v>
          </cell>
          <cell r="AF20">
            <v>0.06</v>
          </cell>
        </row>
        <row r="26">
          <cell r="AF26">
            <v>-0.16882670506740471</v>
          </cell>
        </row>
        <row r="27">
          <cell r="AF27" t="str">
            <v>Slightly overvalued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  <sheetName val="Currency"/>
    </sheetNames>
    <sheetDataSet>
      <sheetData sheetId="0">
        <row r="3">
          <cell r="D3">
            <v>195.4</v>
          </cell>
          <cell r="E3">
            <v>44289</v>
          </cell>
          <cell r="G3">
            <v>44362</v>
          </cell>
        </row>
        <row r="9">
          <cell r="D9">
            <v>38422.119755830201</v>
          </cell>
        </row>
        <row r="12">
          <cell r="D12">
            <v>-7030.131531760293</v>
          </cell>
        </row>
        <row r="13">
          <cell r="D13">
            <v>45452.251287590494</v>
          </cell>
        </row>
      </sheetData>
      <sheetData sheetId="1">
        <row r="16">
          <cell r="Z16">
            <v>0.10624999999999996</v>
          </cell>
          <cell r="AA16">
            <v>-0.19644690769263817</v>
          </cell>
        </row>
        <row r="17">
          <cell r="Z17">
            <v>0.52688449227728729</v>
          </cell>
        </row>
        <row r="18">
          <cell r="Z18">
            <v>7.5306652918304656E-2</v>
          </cell>
        </row>
        <row r="19">
          <cell r="AN19">
            <v>0.06</v>
          </cell>
        </row>
        <row r="25">
          <cell r="AN25">
            <v>-0.27849092267171005</v>
          </cell>
        </row>
        <row r="26">
          <cell r="Z26">
            <v>27652.317988894902</v>
          </cell>
          <cell r="AN26" t="str">
            <v>Slightly overvalued</v>
          </cell>
        </row>
        <row r="33">
          <cell r="AA33">
            <v>243.78662762652721</v>
          </cell>
          <cell r="AB33">
            <v>1220.5018343927957</v>
          </cell>
          <cell r="AC33">
            <v>1872.0898991559866</v>
          </cell>
          <cell r="AD33">
            <v>2082.7817195209655</v>
          </cell>
          <cell r="AE33">
            <v>2501.6791428817633</v>
          </cell>
          <cell r="AF33">
            <v>2628.8019539693751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D3">
            <v>81.16</v>
          </cell>
          <cell r="E3">
            <v>44257</v>
          </cell>
          <cell r="G3">
            <v>44342</v>
          </cell>
        </row>
        <row r="5">
          <cell r="D5">
            <v>31790.371999999999</v>
          </cell>
        </row>
        <row r="8">
          <cell r="D8">
            <v>-1934.0000000000005</v>
          </cell>
        </row>
        <row r="9">
          <cell r="D9">
            <v>33724.372000000003</v>
          </cell>
        </row>
      </sheetData>
      <sheetData sheetId="1">
        <row r="3">
          <cell r="R3">
            <v>10488.6</v>
          </cell>
        </row>
        <row r="14">
          <cell r="S14">
            <v>332.05605000000082</v>
          </cell>
          <cell r="T14">
            <v>1104.4727713750015</v>
          </cell>
          <cell r="U14">
            <v>1215.903207560877</v>
          </cell>
          <cell r="V14">
            <v>1266.9542688845866</v>
          </cell>
          <cell r="W14">
            <v>1359.3101040332083</v>
          </cell>
          <cell r="X14">
            <v>1453.4241022204098</v>
          </cell>
        </row>
        <row r="18">
          <cell r="R18">
            <v>2.159366507904048E-2</v>
          </cell>
          <cell r="S18">
            <v>-0.13488358789542931</v>
          </cell>
        </row>
        <row r="19">
          <cell r="R19">
            <v>0.55280018305588929</v>
          </cell>
        </row>
        <row r="20">
          <cell r="R20">
            <v>8.8467478977175273E-2</v>
          </cell>
        </row>
        <row r="21">
          <cell r="AF21">
            <v>0.06</v>
          </cell>
        </row>
        <row r="27">
          <cell r="AF27">
            <v>-0.31212651667766766</v>
          </cell>
        </row>
        <row r="28">
          <cell r="AF28" t="str">
            <v>Slightly overvalued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CCN.xlsx" TargetMode="External"/><Relationship Id="rId13" Type="http://schemas.openxmlformats.org/officeDocument/2006/relationships/hyperlink" Target="GES.xlsx" TargetMode="External"/><Relationship Id="rId18" Type="http://schemas.openxmlformats.org/officeDocument/2006/relationships/hyperlink" Target="TED.xlsx" TargetMode="External"/><Relationship Id="rId26" Type="http://schemas.openxmlformats.org/officeDocument/2006/relationships/hyperlink" Target="ROO.xlsx" TargetMode="External"/><Relationship Id="rId3" Type="http://schemas.openxmlformats.org/officeDocument/2006/relationships/hyperlink" Target="BOO.xlsx" TargetMode="External"/><Relationship Id="rId21" Type="http://schemas.openxmlformats.org/officeDocument/2006/relationships/hyperlink" Target="FTCH.xlsx" TargetMode="External"/><Relationship Id="rId7" Type="http://schemas.openxmlformats.org/officeDocument/2006/relationships/hyperlink" Target="ITX.xlsx" TargetMode="External"/><Relationship Id="rId12" Type="http://schemas.openxmlformats.org/officeDocument/2006/relationships/hyperlink" Target="FRAS.xlsx" TargetMode="External"/><Relationship Id="rId17" Type="http://schemas.openxmlformats.org/officeDocument/2006/relationships/hyperlink" Target="MKS.xlsx" TargetMode="External"/><Relationship Id="rId25" Type="http://schemas.openxmlformats.org/officeDocument/2006/relationships/hyperlink" Target="LEVI.xlsx" TargetMode="External"/><Relationship Id="rId2" Type="http://schemas.openxmlformats.org/officeDocument/2006/relationships/hyperlink" Target="ASOS.xlsx" TargetMode="External"/><Relationship Id="rId16" Type="http://schemas.openxmlformats.org/officeDocument/2006/relationships/hyperlink" Target="HRMS.xlsx" TargetMode="External"/><Relationship Id="rId20" Type="http://schemas.openxmlformats.org/officeDocument/2006/relationships/hyperlink" Target="NXT.xlsx" TargetMode="External"/><Relationship Id="rId29" Type="http://schemas.openxmlformats.org/officeDocument/2006/relationships/hyperlink" Target="MUL.xlsx" TargetMode="External"/><Relationship Id="rId1" Type="http://schemas.openxmlformats.org/officeDocument/2006/relationships/hyperlink" Target="RL.xlsx" TargetMode="External"/><Relationship Id="rId6" Type="http://schemas.openxmlformats.org/officeDocument/2006/relationships/hyperlink" Target="TJX.xlsx" TargetMode="External"/><Relationship Id="rId11" Type="http://schemas.openxmlformats.org/officeDocument/2006/relationships/hyperlink" Target="BOSS.xlsx" TargetMode="External"/><Relationship Id="rId24" Type="http://schemas.openxmlformats.org/officeDocument/2006/relationships/hyperlink" Target="FL.xlsx" TargetMode="External"/><Relationship Id="rId32" Type="http://schemas.openxmlformats.org/officeDocument/2006/relationships/comments" Target="../comments1.xml"/><Relationship Id="rId5" Type="http://schemas.openxmlformats.org/officeDocument/2006/relationships/hyperlink" Target="BRBY.xlsx" TargetMode="External"/><Relationship Id="rId15" Type="http://schemas.openxmlformats.org/officeDocument/2006/relationships/hyperlink" Target="KER.xlsx" TargetMode="External"/><Relationship Id="rId23" Type="http://schemas.openxmlformats.org/officeDocument/2006/relationships/hyperlink" Target="JOUL.xlsx" TargetMode="External"/><Relationship Id="rId28" Type="http://schemas.openxmlformats.org/officeDocument/2006/relationships/hyperlink" Target="NKE.xlsx" TargetMode="External"/><Relationship Id="rId10" Type="http://schemas.openxmlformats.org/officeDocument/2006/relationships/hyperlink" Target="CPRI.xlsx" TargetMode="External"/><Relationship Id="rId19" Type="http://schemas.openxmlformats.org/officeDocument/2006/relationships/hyperlink" Target="SDRY.xlsx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NNMY.xlsx" TargetMode="External"/><Relationship Id="rId9" Type="http://schemas.openxmlformats.org/officeDocument/2006/relationships/hyperlink" Target="PVH.xlsx" TargetMode="External"/><Relationship Id="rId14" Type="http://schemas.openxmlformats.org/officeDocument/2006/relationships/hyperlink" Target="LVMH.xlsx" TargetMode="External"/><Relationship Id="rId22" Type="http://schemas.openxmlformats.org/officeDocument/2006/relationships/hyperlink" Target="VFC.xlsx" TargetMode="External"/><Relationship Id="rId27" Type="http://schemas.openxmlformats.org/officeDocument/2006/relationships/hyperlink" Target="ADS.xls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755F-5318-4C17-A565-8EC4ADF46525}">
  <dimension ref="B1:AF3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4.4" x14ac:dyDescent="0.3"/>
  <cols>
    <col min="2" max="2" width="16.88671875" bestFit="1" customWidth="1"/>
    <col min="3" max="3" width="10.21875" bestFit="1" customWidth="1"/>
    <col min="4" max="4" width="9.88671875" style="9" bestFit="1" customWidth="1"/>
    <col min="5" max="13" width="8.88671875" style="12"/>
    <col min="14" max="19" width="8.88671875" style="9"/>
    <col min="20" max="20" width="8.88671875" style="12"/>
    <col min="21" max="22" width="9.77734375" style="9" bestFit="1" customWidth="1"/>
    <col min="23" max="23" width="9.88671875" style="9" bestFit="1" customWidth="1"/>
    <col min="24" max="24" width="10" style="9" bestFit="1" customWidth="1"/>
    <col min="25" max="26" width="8.88671875" style="9"/>
    <col min="27" max="27" width="18.44140625" style="9" bestFit="1" customWidth="1"/>
    <col min="28" max="28" width="17" style="9" bestFit="1" customWidth="1"/>
    <col min="29" max="30" width="8.88671875" style="9"/>
    <col min="31" max="31" width="10.5546875" style="9" bestFit="1" customWidth="1"/>
    <col min="32" max="32" width="11.5546875" style="9" bestFit="1" customWidth="1"/>
  </cols>
  <sheetData>
    <row r="1" spans="2:32" x14ac:dyDescent="0.3"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 x14ac:dyDescent="0.3">
      <c r="B2" s="1" t="s">
        <v>0</v>
      </c>
      <c r="C2" s="1" t="s">
        <v>1</v>
      </c>
      <c r="D2" s="2" t="s">
        <v>2</v>
      </c>
      <c r="E2" s="3" t="s">
        <v>3</v>
      </c>
      <c r="F2" s="3" t="s">
        <v>4</v>
      </c>
      <c r="G2" s="3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4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/>
      <c r="AE2" s="2" t="s">
        <v>31</v>
      </c>
      <c r="AF2" s="2" t="s">
        <v>32</v>
      </c>
    </row>
    <row r="3" spans="2:32" x14ac:dyDescent="0.3">
      <c r="B3" s="5" t="s">
        <v>28</v>
      </c>
      <c r="C3" s="1"/>
      <c r="D3" s="2"/>
      <c r="E3" s="3"/>
      <c r="F3" s="3"/>
      <c r="G3" s="3"/>
      <c r="H3" s="3"/>
      <c r="I3" s="3"/>
      <c r="J3" s="3"/>
      <c r="K3" s="3"/>
      <c r="L3" s="3"/>
      <c r="M3" s="3"/>
      <c r="N3" s="6">
        <f t="shared" ref="N3:S3" si="0">TRIMMEAN(N11:N1048576,80%)</f>
        <v>3.4833072025174272</v>
      </c>
      <c r="O3" s="6">
        <f t="shared" si="0"/>
        <v>24.633732847659498</v>
      </c>
      <c r="P3" s="6">
        <f t="shared" si="0"/>
        <v>21.065166460196089</v>
      </c>
      <c r="Q3" s="6">
        <f t="shared" si="0"/>
        <v>18.799750653633353</v>
      </c>
      <c r="R3" s="6">
        <f t="shared" si="0"/>
        <v>16.747387765749966</v>
      </c>
      <c r="S3" s="6">
        <f t="shared" si="0"/>
        <v>14.951276503904468</v>
      </c>
      <c r="T3" s="3"/>
      <c r="U3" s="7">
        <f t="shared" ref="U3:Z3" si="1">TRIMMEAN(U11:U1048576,80%)</f>
        <v>2.6124465159469683E-2</v>
      </c>
      <c r="V3" s="7">
        <f t="shared" si="1"/>
        <v>-0.17742842280533785</v>
      </c>
      <c r="W3" s="7">
        <f t="shared" si="1"/>
        <v>0.52007967317632742</v>
      </c>
      <c r="X3" s="7">
        <f t="shared" si="1"/>
        <v>5.4968697483637058E-2</v>
      </c>
      <c r="Y3" s="7">
        <f t="shared" si="1"/>
        <v>7.0000000000000007E-2</v>
      </c>
      <c r="Z3" s="7">
        <f t="shared" si="1"/>
        <v>-7.8041133966581785E-2</v>
      </c>
      <c r="AA3" s="8" t="str">
        <f>INDEX(AA4:AA32,MODE(MATCH(AA4:AA32,AA4:AA32,0)))</f>
        <v>Slightly overvalued</v>
      </c>
      <c r="AB3" s="2"/>
      <c r="AD3"/>
      <c r="AE3"/>
      <c r="AF3"/>
    </row>
    <row r="4" spans="2:32" x14ac:dyDescent="0.3">
      <c r="B4" s="10" t="s">
        <v>62</v>
      </c>
      <c r="C4" t="s">
        <v>69</v>
      </c>
      <c r="D4" s="18">
        <f>[1]Main!$D$3</f>
        <v>716.4</v>
      </c>
      <c r="E4" s="12">
        <f>[1]Main!$D$5</f>
        <v>361782</v>
      </c>
      <c r="F4" s="12">
        <f>[1]Main!$D$8</f>
        <v>-3011</v>
      </c>
      <c r="G4" s="12">
        <f>[1]Main!$D$9</f>
        <v>364793</v>
      </c>
      <c r="H4" s="12">
        <f>[1]Model!W$16</f>
        <v>4702</v>
      </c>
      <c r="I4" s="12">
        <f>[1]Model!X$16</f>
        <v>6347.7990800000061</v>
      </c>
      <c r="J4" s="12">
        <f>[1]Model!Y$16</f>
        <v>8187.8139720000027</v>
      </c>
      <c r="K4" s="12">
        <f>[1]Model!Z$16</f>
        <v>9598.5505443600032</v>
      </c>
      <c r="L4" s="12">
        <f>[1]Model!AA$16</f>
        <v>10902.933937846801</v>
      </c>
      <c r="M4" s="12">
        <f>[1]Model!AB$16</f>
        <v>12035.353596853576</v>
      </c>
      <c r="N4" s="11">
        <f t="shared" ref="N4:S6" si="2">$G4/H4</f>
        <v>77.582518077413866</v>
      </c>
      <c r="O4" s="11">
        <f t="shared" si="2"/>
        <v>57.467634908192409</v>
      </c>
      <c r="P4" s="11">
        <f t="shared" si="2"/>
        <v>44.553161716605729</v>
      </c>
      <c r="Q4" s="11">
        <f t="shared" si="2"/>
        <v>38.005009018194748</v>
      </c>
      <c r="R4" s="11">
        <f t="shared" si="2"/>
        <v>33.458241797990958</v>
      </c>
      <c r="S4" s="11">
        <f t="shared" si="2"/>
        <v>30.310119022624185</v>
      </c>
      <c r="T4" s="12">
        <f>[1]Model!$V$5</f>
        <v>35547</v>
      </c>
      <c r="U4" s="13">
        <f>[1]Model!V$20</f>
        <v>0.14615811728526884</v>
      </c>
      <c r="V4" s="13">
        <f>[1]Model!W$20</f>
        <v>-0.16804546301471956</v>
      </c>
      <c r="W4" s="13">
        <f>[1]Model!$V$21</f>
        <v>0.66232532140860811</v>
      </c>
      <c r="X4" s="13">
        <f>[1]Model!$V$22</f>
        <v>0.21004285448108814</v>
      </c>
      <c r="Y4" s="13">
        <f>[1]Model!$AO$23</f>
        <v>0.05</v>
      </c>
      <c r="Z4" s="13">
        <f>[1]Model!$AO$29</f>
        <v>-0.32957742772102883</v>
      </c>
      <c r="AA4" s="9" t="str">
        <f>[1]Model!$AO$30</f>
        <v>Slightly overvalued</v>
      </c>
      <c r="AB4" s="9" t="s">
        <v>71</v>
      </c>
      <c r="AC4" s="9">
        <v>1987</v>
      </c>
      <c r="AE4" s="14" t="str">
        <f>[1]Main!$E$3</f>
        <v>06/07/2024 (unfinished)</v>
      </c>
      <c r="AF4" s="14">
        <f>[1]Main!$G$3</f>
        <v>45496</v>
      </c>
    </row>
    <row r="5" spans="2:32" x14ac:dyDescent="0.3">
      <c r="B5" s="10" t="s">
        <v>95</v>
      </c>
      <c r="C5" t="s">
        <v>96</v>
      </c>
      <c r="D5" s="15">
        <f>[2]Main!$D$3</f>
        <v>75.37</v>
      </c>
      <c r="E5" s="12">
        <f>[2]Main!$D$5</f>
        <v>113657.96</v>
      </c>
      <c r="F5" s="12">
        <f>[2]Main!$D$8</f>
        <v>2673</v>
      </c>
      <c r="G5" s="12">
        <f>[2]Main!$D$9</f>
        <v>110984.96000000001</v>
      </c>
      <c r="H5" s="12">
        <f>[2]Model!AN$13</f>
        <v>5727</v>
      </c>
      <c r="I5" s="12">
        <f>[2]Model!AO$13</f>
        <v>6046</v>
      </c>
      <c r="J5" s="12">
        <f>[2]Model!AP$13</f>
        <v>5070</v>
      </c>
      <c r="K5" s="12">
        <f>[2]Model!AQ$13</f>
        <v>5700</v>
      </c>
      <c r="L5" s="12">
        <f>[2]Model!AR$13</f>
        <v>5243.2296860000015</v>
      </c>
      <c r="M5" s="12">
        <f>[2]Model!AS$13</f>
        <v>6220.1101678800005</v>
      </c>
      <c r="N5" s="11">
        <f t="shared" ref="N5:S5" si="3">$G5/H5</f>
        <v>19.379249170595426</v>
      </c>
      <c r="O5" s="11">
        <f t="shared" si="3"/>
        <v>18.356758187231229</v>
      </c>
      <c r="P5" s="11">
        <f t="shared" si="3"/>
        <v>21.890524654832348</v>
      </c>
      <c r="Q5" s="11">
        <f t="shared" si="3"/>
        <v>19.471045614035088</v>
      </c>
      <c r="R5" s="11">
        <f t="shared" si="3"/>
        <v>21.167289370584321</v>
      </c>
      <c r="S5" s="11">
        <f t="shared" si="3"/>
        <v>17.842925125846605</v>
      </c>
      <c r="T5" s="12">
        <f>[2]Model!$AM$3</f>
        <v>37403</v>
      </c>
      <c r="U5" s="13">
        <f>[2]Model!AM$17</f>
        <v>-4.3817266150267153E-2</v>
      </c>
      <c r="V5" s="13">
        <f>[2]Model!AN$17</f>
        <v>0.19076009945726269</v>
      </c>
      <c r="W5" s="13">
        <f>[2]Model!$AM$18</f>
        <v>0.43421650669732376</v>
      </c>
      <c r="X5" s="13">
        <f>[2]Model!$AM$19</f>
        <v>8.3282089671951443E-2</v>
      </c>
      <c r="Y5" s="13">
        <f>[2]Model!$BE$20</f>
        <v>0.06</v>
      </c>
      <c r="Z5" s="13">
        <f>[2]Model!$BE$26</f>
        <v>-0.1035119915356798</v>
      </c>
      <c r="AA5" s="9" t="str">
        <f>[2]Model!$BE$27</f>
        <v>Slightly overvalued</v>
      </c>
      <c r="AB5" s="9" t="s">
        <v>94</v>
      </c>
      <c r="AC5" s="9">
        <v>1964</v>
      </c>
      <c r="AE5" s="14">
        <f>[2]Main!$E$3</f>
        <v>45474</v>
      </c>
      <c r="AF5" s="14">
        <f>[2]Main!$G$3</f>
        <v>45559</v>
      </c>
    </row>
    <row r="6" spans="2:32" x14ac:dyDescent="0.3">
      <c r="B6" s="10" t="s">
        <v>70</v>
      </c>
      <c r="C6" t="s">
        <v>73</v>
      </c>
      <c r="D6" s="18">
        <f>[3]Main!$D$3</f>
        <v>1049.08</v>
      </c>
      <c r="E6" s="12">
        <f>[3]Main!$D$5</f>
        <v>110750.32651999999</v>
      </c>
      <c r="F6" s="12">
        <f>[3]Main!$D$8</f>
        <v>4738.6000000000004</v>
      </c>
      <c r="G6" s="12">
        <f>[3]Main!$D$9</f>
        <v>106011.72651999998</v>
      </c>
      <c r="H6" s="12">
        <f>[3]Model!N$13</f>
        <v>1375.3999999999994</v>
      </c>
      <c r="I6" s="12">
        <f>[3]Model!O$13</f>
        <v>1829.0136100000002</v>
      </c>
      <c r="J6" s="12">
        <f>[3]Model!P$13</f>
        <v>2275.2801891999993</v>
      </c>
      <c r="K6" s="12">
        <f>[3]Model!Q$13</f>
        <v>2677.9631478159999</v>
      </c>
      <c r="L6" s="12">
        <f>[3]Model!R$13</f>
        <v>3007.0582252506406</v>
      </c>
      <c r="M6" s="12">
        <f>[3]Model!S$13</f>
        <v>3250.5558565673587</v>
      </c>
      <c r="N6" s="11">
        <f t="shared" si="2"/>
        <v>77.077015064708462</v>
      </c>
      <c r="O6" s="11">
        <f t="shared" si="2"/>
        <v>57.961146893816704</v>
      </c>
      <c r="P6" s="11">
        <f t="shared" si="2"/>
        <v>46.592822731548623</v>
      </c>
      <c r="Q6" s="11">
        <f t="shared" si="2"/>
        <v>39.586701036740308</v>
      </c>
      <c r="R6" s="11">
        <f t="shared" si="2"/>
        <v>35.254297914754815</v>
      </c>
      <c r="S6" s="11">
        <f t="shared" si="2"/>
        <v>32.613414812059297</v>
      </c>
      <c r="T6" s="12">
        <f>[3]Model!$M$3</f>
        <v>6883.4</v>
      </c>
      <c r="U6" s="13">
        <f>[3]Model!$M$17</f>
        <v>0.15375203231591805</v>
      </c>
      <c r="V6" s="13">
        <f>[3]Model!$N$17</f>
        <v>-7.1766859400877459E-2</v>
      </c>
      <c r="W6" s="13">
        <f>[3]Model!$M$18</f>
        <v>0.69130081064590176</v>
      </c>
      <c r="X6" s="13">
        <f>[3]Model!$M$19</f>
        <v>0.3397739489205916</v>
      </c>
      <c r="Y6" s="13">
        <f>[3]Model!$AA$20</f>
        <v>0.06</v>
      </c>
      <c r="Z6" s="13">
        <f>[3]Model!$AA$26</f>
        <v>-0.468088241988178</v>
      </c>
      <c r="AA6" s="9" t="str">
        <f>[3]Model!$AA$27</f>
        <v>Overvalued</v>
      </c>
      <c r="AB6" s="9" t="s">
        <v>53</v>
      </c>
      <c r="AC6" s="9">
        <v>1837</v>
      </c>
      <c r="AE6" s="14">
        <f>[3]Main!$E$3</f>
        <v>44312</v>
      </c>
      <c r="AF6" s="14">
        <f>[3]Main!$G$3</f>
        <v>44407</v>
      </c>
    </row>
    <row r="7" spans="2:32" x14ac:dyDescent="0.3">
      <c r="B7" s="10" t="s">
        <v>46</v>
      </c>
      <c r="C7" t="s">
        <v>47</v>
      </c>
      <c r="D7" s="18">
        <f>[4]Main!$D$3</f>
        <v>31.81</v>
      </c>
      <c r="E7" s="12">
        <f>[4]Main!$D$5</f>
        <v>99084.968999999997</v>
      </c>
      <c r="F7" s="12">
        <f>[4]Main!$D$8</f>
        <v>7821</v>
      </c>
      <c r="G7" s="12">
        <f>[4]Main!$D$9</f>
        <v>91263.968999999997</v>
      </c>
      <c r="H7" s="12">
        <f>[4]Model!AF$13</f>
        <v>1105</v>
      </c>
      <c r="I7" s="12">
        <f>[4]Model!AG$13</f>
        <v>2447.236506000002</v>
      </c>
      <c r="J7" s="12">
        <f>[4]Model!AH$13</f>
        <v>3288.5182434000017</v>
      </c>
      <c r="K7" s="12">
        <f>[4]Model!AI$13</f>
        <v>3964.323403872002</v>
      </c>
      <c r="L7" s="12">
        <f>[4]Model!AJ$13</f>
        <v>4307.8303576776052</v>
      </c>
      <c r="M7" s="12">
        <f>[4]Model!AK$13</f>
        <v>4669.9714401818446</v>
      </c>
      <c r="N7" s="11">
        <f t="shared" ref="N7:S7" si="4">$G7/H7</f>
        <v>82.591827149321261</v>
      </c>
      <c r="O7" s="11">
        <f t="shared" si="4"/>
        <v>37.292664103466883</v>
      </c>
      <c r="P7" s="11">
        <f t="shared" si="4"/>
        <v>27.752307344855144</v>
      </c>
      <c r="Q7" s="11">
        <f t="shared" si="4"/>
        <v>23.021322859497637</v>
      </c>
      <c r="R7" s="11">
        <f t="shared" si="4"/>
        <v>21.185599576210173</v>
      </c>
      <c r="S7" s="11">
        <f t="shared" si="4"/>
        <v>19.542725296933778</v>
      </c>
      <c r="T7" s="12">
        <f>[4]Model!$AE$3</f>
        <v>28286</v>
      </c>
      <c r="U7" s="13">
        <f>[4]Model!$AE$17</f>
        <v>8.1848083836915775E-2</v>
      </c>
      <c r="V7" s="13">
        <f>[4]Model!$AF$17</f>
        <v>-0.27872445732871387</v>
      </c>
      <c r="W7" s="13">
        <f>[4]Model!$AE$18</f>
        <v>0.55882768860920595</v>
      </c>
      <c r="X7" s="13">
        <f>[4]Model!$AE$19</f>
        <v>0.16867001343420773</v>
      </c>
      <c r="Y7" s="13">
        <f>[4]Model!$AS$20</f>
        <v>0.06</v>
      </c>
      <c r="Z7" s="13">
        <f>[4]Model!$AS$26</f>
        <v>-0.15213785269085034</v>
      </c>
      <c r="AA7" s="9" t="str">
        <f>[4]Model!$AS$27</f>
        <v>Slightly overvalued</v>
      </c>
      <c r="AB7" s="9" t="s">
        <v>48</v>
      </c>
      <c r="AC7" s="9">
        <v>1985</v>
      </c>
      <c r="AE7" s="14">
        <f>[4]Main!$E$3</f>
        <v>44336</v>
      </c>
      <c r="AF7" s="14">
        <f>[4]Main!$G$3</f>
        <v>44356</v>
      </c>
    </row>
    <row r="8" spans="2:32" x14ac:dyDescent="0.3">
      <c r="B8" s="10" t="s">
        <v>68</v>
      </c>
      <c r="C8" t="s">
        <v>72</v>
      </c>
      <c r="D8" s="18">
        <f>[5]Main!$D$3</f>
        <v>712.02</v>
      </c>
      <c r="E8" s="12">
        <f>[5]Main!$D$5</f>
        <v>88931.297999999995</v>
      </c>
      <c r="F8" s="12">
        <f>[5]Main!$D$8</f>
        <v>-1900.6000000000004</v>
      </c>
      <c r="G8" s="12">
        <f>[5]Main!$D$9</f>
        <v>90831.898000000001</v>
      </c>
      <c r="H8" s="12">
        <f>[5]Model!N$13</f>
        <v>2160.6000000000008</v>
      </c>
      <c r="I8" s="12">
        <f>[5]Model!O$13</f>
        <v>2791.2902850000014</v>
      </c>
      <c r="J8" s="12">
        <f>[5]Model!P$13</f>
        <v>3338.8102663499994</v>
      </c>
      <c r="K8" s="12">
        <f>[5]Model!Q$13</f>
        <v>3842.9359207215025</v>
      </c>
      <c r="L8" s="12">
        <f>[5]Model!R$13</f>
        <v>4197.8157031047913</v>
      </c>
      <c r="M8" s="12">
        <f>[5]Model!S$13</f>
        <v>4551.9946949643509</v>
      </c>
      <c r="N8" s="11">
        <f t="shared" ref="N8:S8" si="5">$G8/H8</f>
        <v>42.040126816624998</v>
      </c>
      <c r="O8" s="11">
        <f t="shared" si="5"/>
        <v>32.541186593210227</v>
      </c>
      <c r="P8" s="11">
        <f t="shared" si="5"/>
        <v>27.204869625400363</v>
      </c>
      <c r="Q8" s="11">
        <f t="shared" si="5"/>
        <v>23.63606884783718</v>
      </c>
      <c r="R8" s="11">
        <f t="shared" si="5"/>
        <v>21.637895616241288</v>
      </c>
      <c r="S8" s="11">
        <f t="shared" si="5"/>
        <v>19.954306647255738</v>
      </c>
      <c r="T8" s="12">
        <f>[5]Model!M$3</f>
        <v>15883.5</v>
      </c>
      <c r="U8" s="13">
        <f>[5]Model!M$17</f>
        <v>0.16233205514738169</v>
      </c>
      <c r="V8" s="13">
        <f>[5]Model!N$17</f>
        <v>-0.17523215915887547</v>
      </c>
      <c r="W8" s="13">
        <f>[5]Model!$M$18</f>
        <v>0.74133534800264422</v>
      </c>
      <c r="X8" s="13">
        <f>[5]Model!$M$19</f>
        <v>0.29022570592123909</v>
      </c>
      <c r="Y8" s="13">
        <f>[5]Model!$AA$20</f>
        <v>0.06</v>
      </c>
      <c r="Z8" s="13">
        <f>[5]Model!$AA$26</f>
        <v>-0.1892687656774894</v>
      </c>
      <c r="AA8" s="9" t="str">
        <f>[5]Model!$AA$27</f>
        <v>Slightly overvalued</v>
      </c>
      <c r="AB8" s="9" t="s">
        <v>53</v>
      </c>
      <c r="AC8" s="9">
        <v>1963</v>
      </c>
      <c r="AE8" s="14">
        <f>[5]Main!$E$3</f>
        <v>44336</v>
      </c>
      <c r="AF8" s="14">
        <f>[5]Main!$G$3</f>
        <v>44404</v>
      </c>
    </row>
    <row r="9" spans="2:32" x14ac:dyDescent="0.3">
      <c r="B9" s="10" t="s">
        <v>44</v>
      </c>
      <c r="C9" t="s">
        <v>45</v>
      </c>
      <c r="D9" s="15">
        <f>[6]Main!$D$3</f>
        <v>71.13</v>
      </c>
      <c r="E9" s="12">
        <f>[6]Main!$D$5</f>
        <v>86885.294999999998</v>
      </c>
      <c r="F9" s="12">
        <f>[6]Main!$D$8</f>
        <v>3440.6000000000004</v>
      </c>
      <c r="G9" s="12">
        <f>[6]Main!$D$9</f>
        <v>83444.694999999992</v>
      </c>
      <c r="H9" s="12">
        <f>[6]Model!AA$11</f>
        <v>90.400000000002905</v>
      </c>
      <c r="I9" s="12">
        <f>[6]Model!AB$11</f>
        <v>2587.9830200999963</v>
      </c>
      <c r="J9" s="12">
        <f>[6]Model!AC$11</f>
        <v>3633.0643525177284</v>
      </c>
      <c r="K9" s="12">
        <f>[6]Model!AD$11</f>
        <v>4231.0783529754417</v>
      </c>
      <c r="L9" s="12">
        <f>[6]Model!AE$11</f>
        <v>4727.2582321622904</v>
      </c>
      <c r="M9" s="12">
        <f>[6]Model!AF$11</f>
        <v>5136.2371380739123</v>
      </c>
      <c r="N9" s="11">
        <f t="shared" ref="N9" si="6">$G9/H9</f>
        <v>923.06078539820032</v>
      </c>
      <c r="O9" s="11">
        <f t="shared" ref="O9" si="7">$G9/I9</f>
        <v>32.243138518264232</v>
      </c>
      <c r="P9" s="11">
        <f t="shared" ref="P9" si="8">$G9/J9</f>
        <v>22.968130179739997</v>
      </c>
      <c r="Q9" s="11">
        <f t="shared" ref="Q9" si="9">$G9/K9</f>
        <v>19.72185056353749</v>
      </c>
      <c r="R9" s="11">
        <f t="shared" ref="R9" si="10">$G9/L9</f>
        <v>17.651816529140959</v>
      </c>
      <c r="S9" s="11">
        <f t="shared" ref="S9" si="11">$G9/M9</f>
        <v>16.246269935911045</v>
      </c>
      <c r="T9" s="12">
        <f>[6]Model!$V$3</f>
        <v>11380.928000000002</v>
      </c>
      <c r="U9" s="13">
        <f>[6]Model!Z$15</f>
        <v>7.0410464707527431E-2</v>
      </c>
      <c r="V9" s="13">
        <f>[6]Model!AA$15</f>
        <v>-0.22964259174916701</v>
      </c>
      <c r="W9" s="13">
        <f>[6]Model!$Z$16</f>
        <v>0.28456504542512645</v>
      </c>
      <c r="X9" s="13">
        <f>[6]Model!$Z$17</f>
        <v>0.10586331711292758</v>
      </c>
      <c r="Y9" s="13">
        <f>[6]Model!$AN$18</f>
        <v>0.06</v>
      </c>
      <c r="Z9" s="13">
        <f>[6]Model!$AN$24</f>
        <v>5.1982489296609202E-5</v>
      </c>
      <c r="AA9" s="9" t="str">
        <f>[6]Model!$AN$25</f>
        <v>Fairly valued</v>
      </c>
      <c r="AB9" s="9" t="s">
        <v>89</v>
      </c>
      <c r="AC9" s="9">
        <v>1976</v>
      </c>
      <c r="AE9" s="14">
        <f>[6]Main!$E$3</f>
        <v>44335</v>
      </c>
      <c r="AF9" s="14">
        <f>[6]Main!$G$3</f>
        <v>44432</v>
      </c>
    </row>
    <row r="10" spans="2:32" x14ac:dyDescent="0.3">
      <c r="B10" s="10" t="s">
        <v>92</v>
      </c>
      <c r="C10" t="s">
        <v>93</v>
      </c>
      <c r="D10" s="18">
        <f>[7]Main!$D$3</f>
        <v>286.91000000000003</v>
      </c>
      <c r="E10" s="12">
        <f>[7]Main!$D$5</f>
        <v>56693.416000000005</v>
      </c>
      <c r="F10" s="12">
        <f>[7]Main!$D$8</f>
        <v>305</v>
      </c>
      <c r="G10" s="12">
        <f>[7]Main!$D$9</f>
        <v>56388.416000000005</v>
      </c>
      <c r="H10" s="12">
        <f>[7]Model!S$14</f>
        <v>429</v>
      </c>
      <c r="I10" s="12">
        <f>[7]Model!T$14</f>
        <v>1697.4099107573729</v>
      </c>
      <c r="J10" s="12">
        <f>[7]Model!U$14</f>
        <v>2156.5477862459602</v>
      </c>
      <c r="K10" s="12">
        <f>[7]Model!V$14</f>
        <v>2438.182736170882</v>
      </c>
      <c r="L10" s="12">
        <f>[7]Model!W$14</f>
        <v>2655.6771660842987</v>
      </c>
      <c r="M10" s="12">
        <f>[7]Model!X$14</f>
        <v>2933.8659986494854</v>
      </c>
      <c r="N10" s="11">
        <f t="shared" ref="N10:S10" si="12">$G10/H10</f>
        <v>131.44152913752916</v>
      </c>
      <c r="O10" s="11">
        <f t="shared" si="12"/>
        <v>33.220270273336553</v>
      </c>
      <c r="P10" s="11">
        <f t="shared" si="12"/>
        <v>26.147538375747708</v>
      </c>
      <c r="Q10" s="11">
        <f t="shared" si="12"/>
        <v>23.127231262639857</v>
      </c>
      <c r="R10" s="11">
        <f t="shared" si="12"/>
        <v>21.233159180693153</v>
      </c>
      <c r="S10" s="11">
        <f t="shared" si="12"/>
        <v>19.219833498174992</v>
      </c>
      <c r="T10" s="12">
        <f>[7]Model!$R$3</f>
        <v>23640</v>
      </c>
      <c r="U10" s="13"/>
      <c r="V10" s="13">
        <f>[7]Model!$S$18</f>
        <v>-0.16057529610829102</v>
      </c>
      <c r="W10" s="13">
        <f>[7]Model!$R$19</f>
        <v>0.52000846023688663</v>
      </c>
      <c r="X10" s="13">
        <f>[7]Model!$R$20</f>
        <v>0.11252115059221658</v>
      </c>
      <c r="Y10" s="13">
        <f>[7]Model!$AF$20</f>
        <v>0.06</v>
      </c>
      <c r="Z10" s="13">
        <f>[7]Model!$AF$26</f>
        <v>-0.16882670506740471</v>
      </c>
      <c r="AA10" s="9" t="str">
        <f>[7]Model!$AF$27</f>
        <v>Slightly overvalued</v>
      </c>
      <c r="AB10" s="9" t="s">
        <v>94</v>
      </c>
      <c r="AC10" s="9">
        <v>1949</v>
      </c>
      <c r="AE10" s="14">
        <f>[7]Main!$E$3</f>
        <v>44328</v>
      </c>
      <c r="AF10" s="14">
        <f>[7]Main!$G$3</f>
        <v>44413</v>
      </c>
    </row>
    <row r="11" spans="2:32" x14ac:dyDescent="0.3">
      <c r="B11" s="10" t="s">
        <v>37</v>
      </c>
      <c r="C11" t="s">
        <v>38</v>
      </c>
      <c r="D11" s="17">
        <f>[8]Main!$D$3</f>
        <v>195.4</v>
      </c>
      <c r="E11" s="12">
        <f>[8]Main!$D$9</f>
        <v>38422.119755830201</v>
      </c>
      <c r="F11" s="12">
        <f>[8]Main!$D$12</f>
        <v>-7030.131531760293</v>
      </c>
      <c r="G11" s="12">
        <f>[8]Main!$D$13</f>
        <v>45452.251287590494</v>
      </c>
      <c r="H11" s="12">
        <f>[8]Model!AA$33</f>
        <v>243.78662762652721</v>
      </c>
      <c r="I11" s="12">
        <f>[8]Model!AB$33</f>
        <v>1220.5018343927957</v>
      </c>
      <c r="J11" s="12">
        <f>[8]Model!AC$33</f>
        <v>1872.0898991559866</v>
      </c>
      <c r="K11" s="12">
        <f>[8]Model!AD$33</f>
        <v>2082.7817195209655</v>
      </c>
      <c r="L11" s="12">
        <f>[8]Model!AE$33</f>
        <v>2501.6791428817633</v>
      </c>
      <c r="M11" s="12">
        <f>[8]Model!AF$33</f>
        <v>2628.8019539693751</v>
      </c>
      <c r="N11" s="11">
        <f t="shared" ref="N11:S11" si="13">$G11/H11</f>
        <v>186.44275828460039</v>
      </c>
      <c r="O11" s="11">
        <f t="shared" si="13"/>
        <v>37.240625132041004</v>
      </c>
      <c r="P11" s="11">
        <f t="shared" si="13"/>
        <v>24.278882818652136</v>
      </c>
      <c r="Q11" s="11">
        <f t="shared" si="13"/>
        <v>21.822858757395085</v>
      </c>
      <c r="R11" s="11">
        <f t="shared" si="13"/>
        <v>18.168697379485927</v>
      </c>
      <c r="S11" s="11">
        <f t="shared" si="13"/>
        <v>17.290100997893582</v>
      </c>
      <c r="T11" s="12">
        <f>[8]Model!$Z$26</f>
        <v>27652.317988894902</v>
      </c>
      <c r="U11" s="13">
        <f>[8]Model!Z$16</f>
        <v>0.10624999999999996</v>
      </c>
      <c r="V11" s="13">
        <f>[8]Model!AA$16</f>
        <v>-0.19644690769263817</v>
      </c>
      <c r="W11" s="13">
        <f>[8]Model!$Z$17</f>
        <v>0.52688449227728729</v>
      </c>
      <c r="X11" s="13">
        <f>[8]Model!$Z$18</f>
        <v>7.5306652918304656E-2</v>
      </c>
      <c r="Y11" s="13">
        <f>[8]Model!$AN$19</f>
        <v>0.06</v>
      </c>
      <c r="Z11" s="13">
        <f>[8]Model!$AN$25</f>
        <v>-0.27849092267171005</v>
      </c>
      <c r="AA11" s="9" t="str">
        <f>[8]Model!$AN$26</f>
        <v>Slightly overvalued</v>
      </c>
      <c r="AB11" s="9" t="s">
        <v>40</v>
      </c>
      <c r="AC11" s="9">
        <v>1947</v>
      </c>
      <c r="AE11" s="14">
        <f>[8]Main!$E$3</f>
        <v>44289</v>
      </c>
      <c r="AF11" s="14">
        <f>[8]Main!$G$3</f>
        <v>44362</v>
      </c>
    </row>
    <row r="12" spans="2:32" x14ac:dyDescent="0.3">
      <c r="B12" s="10" t="s">
        <v>58</v>
      </c>
      <c r="C12" t="s">
        <v>84</v>
      </c>
      <c r="D12" s="15">
        <f>[9]Main!$D$3</f>
        <v>81.16</v>
      </c>
      <c r="E12" s="12">
        <f>[9]Main!$D$5</f>
        <v>31790.371999999999</v>
      </c>
      <c r="F12" s="12">
        <f>[9]Main!$D$8</f>
        <v>-1934.0000000000005</v>
      </c>
      <c r="G12" s="12">
        <f>[9]Main!$D$9</f>
        <v>33724.372000000003</v>
      </c>
      <c r="H12" s="12">
        <f>[9]Model!S$14</f>
        <v>332.05605000000082</v>
      </c>
      <c r="I12" s="12">
        <f>[9]Model!T$14</f>
        <v>1104.4727713750015</v>
      </c>
      <c r="J12" s="12">
        <f>[9]Model!U$14</f>
        <v>1215.903207560877</v>
      </c>
      <c r="K12" s="12">
        <f>[9]Model!V$14</f>
        <v>1266.9542688845866</v>
      </c>
      <c r="L12" s="12">
        <f>[9]Model!W$14</f>
        <v>1359.3101040332083</v>
      </c>
      <c r="M12" s="12">
        <f>[9]Model!X$14</f>
        <v>1453.4241022204098</v>
      </c>
      <c r="N12" s="11">
        <f t="shared" ref="N12:S12" si="14">$G12/H12</f>
        <v>101.56228745116952</v>
      </c>
      <c r="O12" s="11">
        <f t="shared" si="14"/>
        <v>30.534362524858995</v>
      </c>
      <c r="P12" s="11">
        <f t="shared" si="14"/>
        <v>27.736066317031664</v>
      </c>
      <c r="Q12" s="11">
        <f t="shared" si="14"/>
        <v>26.618460372441533</v>
      </c>
      <c r="R12" s="11">
        <f t="shared" si="14"/>
        <v>24.80991783989278</v>
      </c>
      <c r="S12" s="11">
        <f t="shared" si="14"/>
        <v>23.203393936070661</v>
      </c>
      <c r="T12" s="12">
        <f>[9]Model!$R$3</f>
        <v>10488.6</v>
      </c>
      <c r="U12" s="13">
        <f>[9]Model!R$18</f>
        <v>2.159366507904048E-2</v>
      </c>
      <c r="V12" s="13">
        <f>[9]Model!S$18</f>
        <v>-0.13488358789542931</v>
      </c>
      <c r="W12" s="13">
        <f>[9]Model!$R$19</f>
        <v>0.55280018305588929</v>
      </c>
      <c r="X12" s="13">
        <f>[9]Model!$R$20</f>
        <v>8.8467478977175273E-2</v>
      </c>
      <c r="Y12" s="13">
        <f>[9]Model!$AF$21</f>
        <v>0.06</v>
      </c>
      <c r="Z12" s="13">
        <f>[9]Model!$AF$27</f>
        <v>-0.31212651667766766</v>
      </c>
      <c r="AA12" s="9" t="str">
        <f>[9]Model!$AF$28</f>
        <v>Slightly overvalued</v>
      </c>
      <c r="AB12" s="9" t="s">
        <v>53</v>
      </c>
      <c r="AC12" s="9">
        <v>1899</v>
      </c>
      <c r="AE12" s="14">
        <f>[9]Main!$E$3</f>
        <v>44257</v>
      </c>
      <c r="AF12" s="14">
        <f>[9]Main!$G$3</f>
        <v>44342</v>
      </c>
    </row>
    <row r="13" spans="2:32" x14ac:dyDescent="0.3">
      <c r="B13" s="10" t="s">
        <v>79</v>
      </c>
      <c r="C13" t="s">
        <v>80</v>
      </c>
      <c r="D13" s="15">
        <f>[10]Main!$D$3</f>
        <v>37.11</v>
      </c>
      <c r="E13" s="12">
        <f>[10]Main!$D$5</f>
        <v>13177.761</v>
      </c>
      <c r="F13" s="12">
        <f>[10]Main!$D$8</f>
        <v>-2054.2000000000007</v>
      </c>
      <c r="G13" s="12">
        <f>[10]Main!$D$9</f>
        <v>15231.961000000001</v>
      </c>
      <c r="H13" s="12">
        <f>[10]Model!AA$16</f>
        <v>-3351</v>
      </c>
      <c r="I13" s="12">
        <f>[10]Model!AB$16</f>
        <v>-30.863578499999971</v>
      </c>
      <c r="J13" s="12">
        <f>[10]Model!AC$16</f>
        <v>-526.33472400000005</v>
      </c>
      <c r="K13" s="12">
        <f>[10]Model!AD$16</f>
        <v>-294.29849258999968</v>
      </c>
      <c r="L13" s="12">
        <f>[10]Model!AE$16</f>
        <v>75.673934901000536</v>
      </c>
      <c r="M13" s="12">
        <f>[10]Model!AF$16</f>
        <v>454.28619061080008</v>
      </c>
      <c r="N13" s="11">
        <f t="shared" ref="N13:S13" si="15">$G13/H13</f>
        <v>-4.5454971650253659</v>
      </c>
      <c r="O13" s="11">
        <f t="shared" si="15"/>
        <v>-493.52543484223696</v>
      </c>
      <c r="P13" s="11">
        <f t="shared" si="15"/>
        <v>-28.93968477747632</v>
      </c>
      <c r="Q13" s="11">
        <f t="shared" si="15"/>
        <v>-51.756843420942438</v>
      </c>
      <c r="R13" s="11">
        <f t="shared" si="15"/>
        <v>201.28411480025483</v>
      </c>
      <c r="S13" s="11">
        <f t="shared" si="15"/>
        <v>33.529438743273744</v>
      </c>
      <c r="T13" s="12">
        <f>[10]Model!$Z$3</f>
        <v>1021.0999999999999</v>
      </c>
      <c r="U13" s="13">
        <f>[10]Model!Z$20</f>
        <v>0.69505312084993354</v>
      </c>
      <c r="V13" s="13">
        <f>[10]Model!AA$20</f>
        <v>0.63911468024679263</v>
      </c>
      <c r="W13" s="13">
        <f>[10]Model!$Z$21</f>
        <v>0.45039663108412487</v>
      </c>
      <c r="X13" s="13">
        <f>[10]Model!$Z$22</f>
        <v>-0.40123396337283329</v>
      </c>
      <c r="Y13" s="13">
        <f>[10]Model!$AO$23</f>
        <v>7.0000000000000007E-2</v>
      </c>
      <c r="Z13" s="13">
        <f>[10]Model!$AO$29</f>
        <v>-0.17579359601320499</v>
      </c>
      <c r="AA13" s="9" t="str">
        <f>[10]Model!$AO$30</f>
        <v>Slightly overvalued</v>
      </c>
      <c r="AB13" s="9" t="s">
        <v>39</v>
      </c>
      <c r="AC13" s="9">
        <v>2007</v>
      </c>
      <c r="AE13" s="14">
        <f>[10]Main!$E$3</f>
        <v>44330</v>
      </c>
      <c r="AF13" s="14" t="str">
        <f>[10]Main!$G$3</f>
        <v>August?</v>
      </c>
    </row>
    <row r="14" spans="2:32" x14ac:dyDescent="0.3">
      <c r="B14" s="10" t="s">
        <v>49</v>
      </c>
      <c r="C14" t="s">
        <v>50</v>
      </c>
      <c r="D14" s="16">
        <f>[11]Main!$D$3</f>
        <v>78.84</v>
      </c>
      <c r="E14" s="12">
        <f>[11]Main!$D$5</f>
        <v>10477.836000000001</v>
      </c>
      <c r="F14" s="12">
        <f>[11]Main!$D$8</f>
        <v>-643.20000000000005</v>
      </c>
      <c r="G14" s="12">
        <f>[11]Main!$D$9</f>
        <v>11121.036000000002</v>
      </c>
      <c r="H14" s="12">
        <f>[11]Model!T$14</f>
        <v>286.70000000000016</v>
      </c>
      <c r="I14" s="12">
        <f>[11]Model!U$14</f>
        <v>486.05430500000017</v>
      </c>
      <c r="J14" s="12">
        <f>[11]Model!V$14</f>
        <v>605.12292000000014</v>
      </c>
      <c r="K14" s="12">
        <f>[11]Model!W$14</f>
        <v>679.52222563200007</v>
      </c>
      <c r="L14" s="12">
        <f>[11]Model!X$14</f>
        <v>708.51801240096029</v>
      </c>
      <c r="M14" s="12">
        <f>[11]Model!Y$14</f>
        <v>739.93312116938898</v>
      </c>
      <c r="N14" s="11">
        <f t="shared" ref="N14:S14" si="16">$G14/H14</f>
        <v>38.789801185908601</v>
      </c>
      <c r="O14" s="11">
        <f t="shared" si="16"/>
        <v>22.880233516294023</v>
      </c>
      <c r="P14" s="11">
        <f t="shared" si="16"/>
        <v>18.378143733177385</v>
      </c>
      <c r="Q14" s="11">
        <f t="shared" si="16"/>
        <v>16.365963585159722</v>
      </c>
      <c r="R14" s="11">
        <f t="shared" si="16"/>
        <v>15.696193752808153</v>
      </c>
      <c r="S14" s="11">
        <f t="shared" si="16"/>
        <v>15.029785370905328</v>
      </c>
      <c r="T14" s="12">
        <f>[11]Model!$S$3</f>
        <v>4266.2</v>
      </c>
      <c r="U14" s="13">
        <f>[11]Model!$S$18</f>
        <v>2.3707827422373651E-2</v>
      </c>
      <c r="V14" s="13">
        <f>[11]Model!$T$18</f>
        <v>-0.17153438657353137</v>
      </c>
      <c r="W14" s="13">
        <f>[11]Model!$S$19</f>
        <v>0.38453424593314894</v>
      </c>
      <c r="X14" s="13">
        <f>[11]Model!$T$20</f>
        <v>0.12562245359891355</v>
      </c>
      <c r="Y14" s="13">
        <f>[11]Model!$AH$21</f>
        <v>7.0000000000000007E-2</v>
      </c>
      <c r="Z14" s="13">
        <f>[11]Model!$AH$27</f>
        <v>-6.2034177753387709E-2</v>
      </c>
      <c r="AA14" s="9" t="str">
        <f>[11]Model!$AH$28</f>
        <v>Fairly valued</v>
      </c>
      <c r="AB14" s="9" t="s">
        <v>40</v>
      </c>
      <c r="AC14" s="9">
        <v>1864</v>
      </c>
      <c r="AE14" s="14">
        <f>[11]Main!$E$3</f>
        <v>44328</v>
      </c>
      <c r="AF14" s="14">
        <f>[11]Main!$G$3</f>
        <v>44412</v>
      </c>
    </row>
    <row r="15" spans="2:32" x14ac:dyDescent="0.3">
      <c r="B15" s="10" t="s">
        <v>61</v>
      </c>
      <c r="C15" t="s">
        <v>88</v>
      </c>
      <c r="D15" s="15">
        <f>[12]Main!$D$3</f>
        <v>23.91</v>
      </c>
      <c r="E15" s="12">
        <f>[12]Main!$D$5</f>
        <v>9525.7439999999988</v>
      </c>
      <c r="F15" s="12">
        <f>[12]Main!$D$8</f>
        <v>29.400000000000091</v>
      </c>
      <c r="G15" s="12">
        <f>[12]Main!$D$9</f>
        <v>9496.3439999999991</v>
      </c>
      <c r="H15" s="12">
        <f>[12]Model!AB$14</f>
        <v>-127.29999999999936</v>
      </c>
      <c r="I15" s="12">
        <f>[12]Model!AC$14</f>
        <v>192.64119699999998</v>
      </c>
      <c r="J15" s="12">
        <f>[12]Model!AD$14</f>
        <v>328.94239735200023</v>
      </c>
      <c r="K15" s="12">
        <f>[12]Model!AE$14</f>
        <v>388.85303036963194</v>
      </c>
      <c r="L15" s="12">
        <f>[12]Model!AF$14</f>
        <v>445.39479257794653</v>
      </c>
      <c r="M15" s="12">
        <f>[12]Model!AG$14</f>
        <v>503.06099974552961</v>
      </c>
      <c r="N15" s="11">
        <f t="shared" ref="N15:S15" si="17">$G15/H15</f>
        <v>-74.598146111547891</v>
      </c>
      <c r="O15" s="11">
        <f t="shared" si="17"/>
        <v>49.295499342230521</v>
      </c>
      <c r="P15" s="11">
        <f t="shared" si="17"/>
        <v>28.869322034635722</v>
      </c>
      <c r="Q15" s="11">
        <f t="shared" si="17"/>
        <v>24.421422126948737</v>
      </c>
      <c r="R15" s="11">
        <f t="shared" si="17"/>
        <v>21.321183269869699</v>
      </c>
      <c r="S15" s="11">
        <f t="shared" si="17"/>
        <v>18.877122267088222</v>
      </c>
      <c r="T15" s="12">
        <f>[12]Model!$AA$3</f>
        <v>5763.1</v>
      </c>
      <c r="U15" s="13">
        <f>[12]Model!AA$18</f>
        <v>3.3665745955447246E-2</v>
      </c>
      <c r="V15" s="13">
        <f>[12]Model!AB$18</f>
        <v>-0.22739497839704326</v>
      </c>
      <c r="W15" s="13">
        <f>[12]Model!$AA$19</f>
        <v>0.53814787180510493</v>
      </c>
      <c r="X15" s="13">
        <f>[12]Model!$AA$20</f>
        <v>9.8349846436813548E-2</v>
      </c>
      <c r="Y15" s="13">
        <f>[12]Model!$AP$21</f>
        <v>7.0000000000000007E-2</v>
      </c>
      <c r="Z15" s="13">
        <f>[12]Model!$AP$27</f>
        <v>-0.19115467120529295</v>
      </c>
      <c r="AA15" s="9" t="str">
        <f>[12]Model!$AP$28</f>
        <v>Slightly overvalued</v>
      </c>
      <c r="AB15" s="9" t="s">
        <v>53</v>
      </c>
      <c r="AC15" s="9">
        <v>1853</v>
      </c>
      <c r="AE15" s="14">
        <f>[12]Main!$E$3</f>
        <v>44282</v>
      </c>
      <c r="AF15" s="14">
        <f>[12]Main!$G$3</f>
        <v>44390</v>
      </c>
    </row>
    <row r="16" spans="2:32" x14ac:dyDescent="0.3">
      <c r="B16" s="10" t="s">
        <v>54</v>
      </c>
      <c r="C16" t="s">
        <v>55</v>
      </c>
      <c r="D16" s="15">
        <f>[13]Main!$D$3</f>
        <v>100.98</v>
      </c>
      <c r="E16" s="12">
        <f>[13]Main!$D$5</f>
        <v>7189.7760000000007</v>
      </c>
      <c r="F16" s="12">
        <f>[13]Main!$D$8</f>
        <v>-1903.3999999999996</v>
      </c>
      <c r="G16" s="12">
        <f>[13]Main!$D$9</f>
        <v>9093.1759999999995</v>
      </c>
      <c r="H16" s="12">
        <f>[13]Model!V$14</f>
        <v>-202.60000000000051</v>
      </c>
      <c r="I16" s="12">
        <f>[13]Model!W$14</f>
        <v>83.286102424884916</v>
      </c>
      <c r="J16" s="12">
        <f>[13]Model!X$14</f>
        <v>150.03512642182386</v>
      </c>
      <c r="K16" s="12">
        <f>[13]Model!Y$14</f>
        <v>237.50737191137478</v>
      </c>
      <c r="L16" s="12">
        <f>[13]Model!Z$14</f>
        <v>302.66567373529102</v>
      </c>
      <c r="M16" s="12">
        <f>[13]Model!AA$14</f>
        <v>409.15893155308225</v>
      </c>
      <c r="N16" s="11">
        <f t="shared" ref="N16:S16" si="18">$G16/H16</f>
        <v>-44.882408687068001</v>
      </c>
      <c r="O16" s="11">
        <f t="shared" si="18"/>
        <v>109.17999204250269</v>
      </c>
      <c r="P16" s="11">
        <f t="shared" si="18"/>
        <v>60.606980624220817</v>
      </c>
      <c r="Q16" s="11">
        <f t="shared" si="18"/>
        <v>38.28586846303488</v>
      </c>
      <c r="R16" s="11">
        <f t="shared" si="18"/>
        <v>30.043631601094013</v>
      </c>
      <c r="S16" s="11">
        <f t="shared" si="18"/>
        <v>22.224068201283529</v>
      </c>
      <c r="T16" s="12">
        <f>[13]Model!$U$3</f>
        <v>9909</v>
      </c>
      <c r="U16" s="13">
        <f>[13]Model!$U$18</f>
        <v>2.6116311821721583E-2</v>
      </c>
      <c r="V16" s="13">
        <f>[13]Model!$V$18</f>
        <v>-0.2801897265112524</v>
      </c>
      <c r="W16" s="13">
        <f>[13]Model!$U$19</f>
        <v>0.54375819961651028</v>
      </c>
      <c r="X16" s="13">
        <f>[13]Model!$U$20</f>
        <v>6.8987788878797113E-2</v>
      </c>
      <c r="Y16" s="13">
        <f>[13]Model!$AI$21</f>
        <v>7.0000000000000007E-2</v>
      </c>
      <c r="Z16" s="13">
        <f>[13]Model!$AI$27</f>
        <v>-0.43205430167391579</v>
      </c>
      <c r="AA16" s="9" t="str">
        <f>[13]Model!$AI$28</f>
        <v>Overvalued</v>
      </c>
      <c r="AB16" s="9" t="s">
        <v>53</v>
      </c>
      <c r="AC16" s="9">
        <v>1881</v>
      </c>
      <c r="AE16" s="14">
        <f>[13]Main!$E$3</f>
        <v>44289</v>
      </c>
      <c r="AF16" s="14">
        <f>[13]Main!$G$3</f>
        <v>44342</v>
      </c>
    </row>
    <row r="17" spans="2:32" x14ac:dyDescent="0.3">
      <c r="B17" s="10" t="s">
        <v>29</v>
      </c>
      <c r="C17" t="s">
        <v>30</v>
      </c>
      <c r="D17" s="15">
        <f>[14]Main!$D$3</f>
        <v>122.5</v>
      </c>
      <c r="E17" s="12">
        <f>[14]Main!$D$5</f>
        <v>8966.9999999999982</v>
      </c>
      <c r="F17" s="12">
        <f>[14]Main!$D$8</f>
        <v>1143.5999999999999</v>
      </c>
      <c r="G17" s="12">
        <f>[14]Main!$D$9</f>
        <v>7823.3999999999978</v>
      </c>
      <c r="H17" s="12">
        <f>[14]Model!AB$16</f>
        <v>-121.09999999999991</v>
      </c>
      <c r="I17" s="12">
        <f>[14]Model!AC$16</f>
        <v>330.40700102655353</v>
      </c>
      <c r="J17" s="12">
        <f>[14]Model!AD$16</f>
        <v>382.58066301498752</v>
      </c>
      <c r="K17" s="12">
        <f>[14]Model!AE$16</f>
        <v>401.34657010401844</v>
      </c>
      <c r="L17" s="12">
        <f>[14]Model!AF$16</f>
        <v>419.39842212023763</v>
      </c>
      <c r="M17" s="12">
        <f>[14]Model!AG$16</f>
        <v>462.01377905551715</v>
      </c>
      <c r="N17" s="11">
        <f t="shared" ref="N17:S17" si="19">$G17/H17</f>
        <v>-64.602807597027279</v>
      </c>
      <c r="O17" s="11">
        <f t="shared" si="19"/>
        <v>23.678069700984519</v>
      </c>
      <c r="P17" s="11">
        <f t="shared" si="19"/>
        <v>20.449020968144222</v>
      </c>
      <c r="Q17" s="11">
        <f t="shared" si="19"/>
        <v>19.492878680817874</v>
      </c>
      <c r="R17" s="11">
        <f t="shared" si="19"/>
        <v>18.653861310324867</v>
      </c>
      <c r="S17" s="11">
        <f t="shared" si="19"/>
        <v>16.933261202713851</v>
      </c>
      <c r="T17" s="12">
        <f>[14]Model!$AA$3</f>
        <v>6159.7999999999993</v>
      </c>
      <c r="U17" s="13">
        <f>[14]Model!$AA$20</f>
        <v>-2.6626424158146866E-2</v>
      </c>
      <c r="V17" s="13">
        <f>[14]Model!$AB$20</f>
        <v>-0.28556121952011415</v>
      </c>
      <c r="W17" s="13">
        <f>[14]Model!$AA$21</f>
        <v>0.59308743790382801</v>
      </c>
      <c r="X17" s="13">
        <f>[14]Model!$AA$22</f>
        <v>5.1316601188350186E-2</v>
      </c>
      <c r="Y17" s="13">
        <f>[14]Model!$AP$23</f>
        <v>7.0000000000000007E-2</v>
      </c>
      <c r="Z17" s="13">
        <f>[14]Model!$AP$29</f>
        <v>-0.12941289817966728</v>
      </c>
      <c r="AA17" s="9" t="str">
        <f>[14]Model!$AP$30</f>
        <v>Slightly overvalued</v>
      </c>
      <c r="AB17" s="9" t="s">
        <v>41</v>
      </c>
      <c r="AC17" s="9">
        <v>1967</v>
      </c>
      <c r="AE17" s="14">
        <f>[14]Main!$E$3</f>
        <v>44336</v>
      </c>
      <c r="AF17" s="14" t="str">
        <f>[14]Main!$G$3</f>
        <v>August?</v>
      </c>
    </row>
    <row r="18" spans="2:32" x14ac:dyDescent="0.3">
      <c r="B18" s="10" t="s">
        <v>56</v>
      </c>
      <c r="C18" t="s">
        <v>57</v>
      </c>
      <c r="D18" s="15">
        <f>[15]Main!$D$3</f>
        <v>45.25</v>
      </c>
      <c r="E18" s="12">
        <f>[15]Main!$D$5</f>
        <v>6832.75</v>
      </c>
      <c r="F18" s="12">
        <f>[15]Main!$D$8</f>
        <v>-1183</v>
      </c>
      <c r="G18" s="12">
        <f>[15]Main!$D$9</f>
        <v>8015.75</v>
      </c>
      <c r="H18" s="12">
        <f>[15]Model!R$18</f>
        <v>120.25279999999937</v>
      </c>
      <c r="I18" s="12">
        <f>[15]Model!S$18</f>
        <v>409.35277500000024</v>
      </c>
      <c r="J18" s="12">
        <f>[15]Model!T$18</f>
        <v>492.11120980000044</v>
      </c>
      <c r="K18" s="12">
        <f>[15]Model!U$18</f>
        <v>541.79684392160095</v>
      </c>
      <c r="L18" s="12">
        <f>[15]Model!V$18</f>
        <v>592.24472552862767</v>
      </c>
      <c r="M18" s="12">
        <f>[15]Model!W$18</f>
        <v>685.89298173377188</v>
      </c>
      <c r="N18" s="11">
        <f t="shared" ref="N18:S18" si="20">$G18/H18</f>
        <v>66.657491551132637</v>
      </c>
      <c r="O18" s="11">
        <f t="shared" si="20"/>
        <v>19.581521097542321</v>
      </c>
      <c r="P18" s="11">
        <f t="shared" si="20"/>
        <v>16.288493008029</v>
      </c>
      <c r="Q18" s="11">
        <f t="shared" si="20"/>
        <v>14.794752110368318</v>
      </c>
      <c r="R18" s="11">
        <f t="shared" si="20"/>
        <v>13.534523237577636</v>
      </c>
      <c r="S18" s="11">
        <f t="shared" si="20"/>
        <v>11.686589910481544</v>
      </c>
      <c r="T18" s="12">
        <f>[15]Model!$Q$3</f>
        <v>5551</v>
      </c>
      <c r="U18" s="13">
        <f>[15]Model!$Q$22</f>
        <v>5.975563192058031E-2</v>
      </c>
      <c r="V18" s="13">
        <f>[15]Model!$R$22</f>
        <v>-0.30600612502251856</v>
      </c>
      <c r="W18" s="13">
        <f>[15]Model!$Q$23</f>
        <v>0.58926319582057285</v>
      </c>
      <c r="X18" s="13">
        <f>[15]Model!$Q$24</f>
        <v>-3.4588362457214916E-2</v>
      </c>
      <c r="Y18" s="13">
        <f>[15]Model!$AE$25</f>
        <v>7.0000000000000007E-2</v>
      </c>
      <c r="Z18" s="13">
        <f>[15]Model!$AE$31</f>
        <v>0.13935397179267239</v>
      </c>
      <c r="AA18" s="9" t="str">
        <f>[15]Model!$AE$32</f>
        <v>Slightly undervalued</v>
      </c>
      <c r="AB18" s="9" t="s">
        <v>41</v>
      </c>
      <c r="AC18" s="9">
        <v>1981</v>
      </c>
      <c r="AE18" s="14">
        <f>[15]Main!$E$3</f>
        <v>44231</v>
      </c>
      <c r="AF18" s="14">
        <f>[15]Main!$G$3</f>
        <v>44342</v>
      </c>
    </row>
    <row r="19" spans="2:32" x14ac:dyDescent="0.3">
      <c r="B19" s="10" t="s">
        <v>42</v>
      </c>
      <c r="C19" t="s">
        <v>43</v>
      </c>
      <c r="D19" s="16">
        <f>[16]Main!$D$3</f>
        <v>20.190000000000001</v>
      </c>
      <c r="E19" s="12">
        <f>[16]Main!$D$5</f>
        <v>8178.969000000001</v>
      </c>
      <c r="F19" s="12">
        <f>[16]Main!$D$8</f>
        <v>918.8</v>
      </c>
      <c r="G19" s="12">
        <f>[16]Main!$D$9</f>
        <v>7260.1690000000008</v>
      </c>
      <c r="H19" s="12">
        <f>[16]Model!T$14</f>
        <v>375.99999999999983</v>
      </c>
      <c r="I19" s="12">
        <f>[16]Model!U$14</f>
        <v>425.65764487500013</v>
      </c>
      <c r="J19" s="12">
        <f>[16]Model!V$14</f>
        <v>467.50488039749996</v>
      </c>
      <c r="K19" s="12">
        <f>[16]Model!W$14</f>
        <v>501.98352458294983</v>
      </c>
      <c r="L19" s="12">
        <f>[16]Model!X$14</f>
        <v>531.90331156215871</v>
      </c>
      <c r="M19" s="12">
        <f>[16]Model!Y$14</f>
        <v>545.81130012315293</v>
      </c>
      <c r="N19" s="11">
        <f t="shared" ref="N19:S19" si="21">$G19/H19</f>
        <v>19.30896010638299</v>
      </c>
      <c r="O19" s="11">
        <f t="shared" si="21"/>
        <v>17.056357585524026</v>
      </c>
      <c r="P19" s="11">
        <f t="shared" si="21"/>
        <v>15.529611142940329</v>
      </c>
      <c r="Q19" s="11">
        <f t="shared" si="21"/>
        <v>14.462962715821764</v>
      </c>
      <c r="R19" s="11">
        <f t="shared" si="21"/>
        <v>13.649414925952328</v>
      </c>
      <c r="S19" s="11">
        <f t="shared" si="21"/>
        <v>13.301609912366908</v>
      </c>
      <c r="T19" s="12">
        <f>[16]Model!$R$3</f>
        <v>2720.2</v>
      </c>
      <c r="U19" s="13">
        <f>[16]Model!S$18</f>
        <v>-3.2019704433497553E-2</v>
      </c>
      <c r="V19" s="13">
        <f>[16]Model!T$18</f>
        <v>-0.10979453875659861</v>
      </c>
      <c r="W19" s="13">
        <f>[16]Model!$R$19</f>
        <v>0.68406734798911839</v>
      </c>
      <c r="X19" s="13">
        <f>[16]Model!$R$20</f>
        <v>0.16072347621498415</v>
      </c>
      <c r="Y19" s="13">
        <f>[16]Model!$AF$21</f>
        <v>7.0000000000000007E-2</v>
      </c>
      <c r="Z19" s="13">
        <f>[16]Model!$AF$27</f>
        <v>5.9708696159261887E-3</v>
      </c>
      <c r="AA19" s="9" t="str">
        <f>[16]Model!$AF$28</f>
        <v>Fairly valued</v>
      </c>
      <c r="AB19" s="9" t="s">
        <v>41</v>
      </c>
      <c r="AC19" s="9">
        <v>1856</v>
      </c>
      <c r="AE19" s="14">
        <f>[16]Main!$E$3</f>
        <v>44329</v>
      </c>
      <c r="AF19" s="14" t="str">
        <f>[16]Main!$G$3</f>
        <v>August?</v>
      </c>
    </row>
    <row r="20" spans="2:32" x14ac:dyDescent="0.3">
      <c r="B20" s="10" t="s">
        <v>76</v>
      </c>
      <c r="C20" t="s">
        <v>77</v>
      </c>
      <c r="D20" s="16">
        <f>[17]Main!$D$3</f>
        <v>1.4155</v>
      </c>
      <c r="E20" s="12">
        <f>[17]Main!$D$5</f>
        <v>2762.6313500000001</v>
      </c>
      <c r="F20" s="12">
        <f>[17]Main!$D$8</f>
        <v>-3748.2</v>
      </c>
      <c r="G20" s="12">
        <f>[17]Main!$D$9</f>
        <v>6510.8313500000004</v>
      </c>
      <c r="H20" s="12">
        <f>[17]Model!L$18</f>
        <v>23.699999999999367</v>
      </c>
      <c r="I20" s="12">
        <f>[17]Model!M$18</f>
        <v>-194.4065770000004</v>
      </c>
      <c r="J20" s="12">
        <f>[17]Model!N$18</f>
        <v>78.595820367299467</v>
      </c>
      <c r="K20" s="12">
        <f>[17]Model!O$18</f>
        <v>171.48751634666732</v>
      </c>
      <c r="L20" s="12">
        <f>[17]Model!P$18</f>
        <v>182.66556359255412</v>
      </c>
      <c r="M20" s="12">
        <f>[17]Model!Q$18</f>
        <v>209.91415220073677</v>
      </c>
      <c r="N20" s="11">
        <f t="shared" ref="N20:S20" si="22">$G20/H20</f>
        <v>274.71862236287654</v>
      </c>
      <c r="O20" s="11">
        <f t="shared" si="22"/>
        <v>-33.490797741889089</v>
      </c>
      <c r="P20" s="11">
        <f t="shared" si="22"/>
        <v>82.839409520418897</v>
      </c>
      <c r="Q20" s="11">
        <f t="shared" si="22"/>
        <v>37.966794835596971</v>
      </c>
      <c r="R20" s="11">
        <f t="shared" si="22"/>
        <v>35.643452558593793</v>
      </c>
      <c r="S20" s="11">
        <f t="shared" si="22"/>
        <v>31.016638381645752</v>
      </c>
      <c r="T20" s="12">
        <f>[17]Model!$K$6</f>
        <v>10377.300000000001</v>
      </c>
      <c r="U20" s="13">
        <f>[17]Model!$K$25</f>
        <v>-2.999570021125042E-2</v>
      </c>
      <c r="V20" s="13">
        <f>[17]Model!L$25</f>
        <v>-1.8829560675705737E-2</v>
      </c>
      <c r="W20" s="13">
        <f>[17]Model!$K$26</f>
        <v>0.3680244379559231</v>
      </c>
      <c r="X20" s="13">
        <f>[17]Model!$K$27</f>
        <v>2.872616191109454E-2</v>
      </c>
      <c r="Y20" s="13">
        <f>[17]Model!$Y$28</f>
        <v>7.0000000000000007E-2</v>
      </c>
      <c r="Z20" s="13">
        <f>[17]Model!$Y$34</f>
        <v>-0.70503265103987556</v>
      </c>
      <c r="AA20" s="9" t="str">
        <f>[17]Model!$Y$35</f>
        <v>Heavily overvalued</v>
      </c>
      <c r="AB20" s="9" t="s">
        <v>78</v>
      </c>
      <c r="AC20" s="9">
        <v>1884</v>
      </c>
      <c r="AE20" s="14">
        <f>[17]Main!$E$3</f>
        <v>44231</v>
      </c>
      <c r="AF20" s="14">
        <f>[17]Main!$G$3</f>
        <v>44342</v>
      </c>
    </row>
    <row r="21" spans="2:32" x14ac:dyDescent="0.3">
      <c r="B21" s="10" t="s">
        <v>33</v>
      </c>
      <c r="C21" t="s">
        <v>34</v>
      </c>
      <c r="D21" s="16">
        <f>[18]Main!$D$3</f>
        <v>40.53</v>
      </c>
      <c r="E21" s="12">
        <f>[18]Main!$D$5</f>
        <v>4036.788</v>
      </c>
      <c r="F21" s="12">
        <f>[18]Main!$D$8</f>
        <v>92</v>
      </c>
      <c r="G21" s="12">
        <f>[18]Main!$D$9</f>
        <v>3944.788</v>
      </c>
      <c r="H21" s="12">
        <f>[18]Model!O$13</f>
        <v>113.30000000000014</v>
      </c>
      <c r="I21" s="12">
        <f>[18]Model!P$13</f>
        <v>198.33847199999983</v>
      </c>
      <c r="J21" s="12">
        <f>[18]Model!Q$13</f>
        <v>285.76425305400005</v>
      </c>
      <c r="K21" s="12">
        <f>[18]Model!R$13</f>
        <v>380.56492102427984</v>
      </c>
      <c r="L21" s="12">
        <f>[18]Model!S$13</f>
        <v>428.70506956677923</v>
      </c>
      <c r="M21" s="12">
        <f>[18]Model!T$13</f>
        <v>462.05326094997832</v>
      </c>
      <c r="N21" s="11">
        <f t="shared" ref="N21" si="23">$G21/H21</f>
        <v>34.817193292144708</v>
      </c>
      <c r="O21" s="11">
        <f t="shared" ref="O21" si="24">$G21/I21</f>
        <v>19.8891720815516</v>
      </c>
      <c r="P21" s="11">
        <f t="shared" ref="P21" si="25">$G21/J21</f>
        <v>13.804343817820225</v>
      </c>
      <c r="Q21" s="11">
        <f t="shared" ref="Q21" si="26">$G21/K21</f>
        <v>10.365611179776407</v>
      </c>
      <c r="R21" s="11">
        <f t="shared" ref="R21:S21" si="27">$G21/L21</f>
        <v>9.2016359964820094</v>
      </c>
      <c r="S21" s="11">
        <f t="shared" si="27"/>
        <v>8.5375179300532213</v>
      </c>
      <c r="T21" s="12">
        <f>[18]Model!$N$3</f>
        <v>2733.5</v>
      </c>
      <c r="U21" s="13">
        <f>[18]Model!N$17</f>
        <v>0.13080709882927222</v>
      </c>
      <c r="V21" s="13">
        <f>[18]Model!O$17</f>
        <v>0.19389061642582761</v>
      </c>
      <c r="W21" s="13">
        <f>[18]Model!$N$18</f>
        <v>0.48812877263581489</v>
      </c>
      <c r="X21" s="13">
        <f>[18]Model!$N$19</f>
        <v>1.2840680446314217E-2</v>
      </c>
      <c r="Y21" s="13">
        <f>[18]Model!$AB$20</f>
        <v>7.0000000000000007E-2</v>
      </c>
      <c r="Z21" s="13">
        <f>[18]Model!$AB$26</f>
        <v>0.6147884017663674</v>
      </c>
      <c r="AA21" s="9" t="str">
        <f>[18]Model!$AB$27</f>
        <v>Heavily undervalued</v>
      </c>
      <c r="AB21" s="9" t="s">
        <v>39</v>
      </c>
      <c r="AC21" s="9">
        <v>2000</v>
      </c>
      <c r="AE21" s="14">
        <f>[18]Main!$E$3</f>
        <v>44414</v>
      </c>
      <c r="AF21" s="14">
        <f>[18]Main!$G$3</f>
        <v>44482</v>
      </c>
    </row>
    <row r="22" spans="2:32" x14ac:dyDescent="0.3">
      <c r="B22" s="10" t="s">
        <v>90</v>
      </c>
      <c r="C22" t="s">
        <v>91</v>
      </c>
      <c r="D22" s="16">
        <f>[19]Main!$D$3</f>
        <v>3.6</v>
      </c>
      <c r="E22" s="12">
        <f>[19]Main!$D$5</f>
        <v>5496.48</v>
      </c>
      <c r="F22" s="12">
        <f>[19]Main!$D$8</f>
        <v>1626.7</v>
      </c>
      <c r="G22" s="12">
        <f>[19]Main!$D$9</f>
        <v>3869.7799999999997</v>
      </c>
      <c r="H22" s="12">
        <f>[19]Model!J$14</f>
        <v>-226.40000000000003</v>
      </c>
      <c r="I22" s="12">
        <f>[19]Model!K$14</f>
        <v>-148.64088000000027</v>
      </c>
      <c r="J22" s="12">
        <f>[19]Model!L$14</f>
        <v>-58.530304000000008</v>
      </c>
      <c r="K22" s="12">
        <f>[19]Model!M$14</f>
        <v>74.169723179999863</v>
      </c>
      <c r="L22" s="12">
        <f>[19]Model!N$14</f>
        <v>148.84614342619989</v>
      </c>
      <c r="M22" s="12">
        <f>[19]Model!O$14</f>
        <v>225.36052955215987</v>
      </c>
      <c r="N22" s="11">
        <f t="shared" ref="N22:S22" si="28">$G22/H22</f>
        <v>-17.092667844522964</v>
      </c>
      <c r="O22" s="11">
        <f t="shared" si="28"/>
        <v>-26.034426060986675</v>
      </c>
      <c r="P22" s="11">
        <f t="shared" si="28"/>
        <v>-66.115836336677816</v>
      </c>
      <c r="Q22" s="11">
        <f t="shared" si="28"/>
        <v>52.174658797209858</v>
      </c>
      <c r="R22" s="11">
        <f t="shared" si="28"/>
        <v>25.998523783847268</v>
      </c>
      <c r="S22" s="11">
        <f t="shared" si="28"/>
        <v>17.171507396126952</v>
      </c>
      <c r="T22" s="12">
        <f>[19]Model!$I$3</f>
        <v>771.8</v>
      </c>
      <c r="U22" s="13">
        <f>[19]Model!I$18</f>
        <v>0.62074758504829908</v>
      </c>
      <c r="V22" s="13">
        <f>[19]Model!J$18</f>
        <v>0.54288675822752008</v>
      </c>
      <c r="W22" s="13">
        <f>[19]Model!$I$19</f>
        <v>0.24436382482508412</v>
      </c>
      <c r="X22" s="13">
        <f>[19]Model!$I$20</f>
        <v>-0.41448561803576073</v>
      </c>
      <c r="Y22" s="13">
        <f>[19]Model!$X$21</f>
        <v>7.0000000000000007E-2</v>
      </c>
      <c r="Z22" s="13">
        <f>[19]Model!$X$27</f>
        <v>8.4177669736136052E-2</v>
      </c>
      <c r="AA22" s="9" t="str">
        <f>[19]Model!$X$28</f>
        <v>Fairly valued</v>
      </c>
      <c r="AB22" s="9" t="s">
        <v>39</v>
      </c>
      <c r="AC22" s="9">
        <v>2013</v>
      </c>
      <c r="AE22" s="14">
        <f>[19]Main!$E$3</f>
        <v>44420</v>
      </c>
      <c r="AF22" s="14" t="str">
        <f>[19]Main!$G$3</f>
        <v>?</v>
      </c>
    </row>
    <row r="23" spans="2:32" x14ac:dyDescent="0.3">
      <c r="B23" s="10" t="s">
        <v>83</v>
      </c>
      <c r="C23" t="s">
        <v>87</v>
      </c>
      <c r="D23" s="15">
        <f>[20]Main!$D$3</f>
        <v>54.44</v>
      </c>
      <c r="E23" s="12">
        <f>[20]Main!$D$5</f>
        <v>5634.54</v>
      </c>
      <c r="F23" s="12">
        <f>[20]Main!$D$8</f>
        <v>2196</v>
      </c>
      <c r="G23" s="12">
        <f>[20]Main!$D$9</f>
        <v>3438.54</v>
      </c>
      <c r="H23" s="12">
        <f>[20]Model!AA$14</f>
        <v>323</v>
      </c>
      <c r="I23" s="12">
        <f>[20]Model!AB$14</f>
        <v>493.88965000000053</v>
      </c>
      <c r="J23" s="12">
        <f>[20]Model!AC$14</f>
        <v>493.78695040000025</v>
      </c>
      <c r="K23" s="12">
        <f>[20]Model!AD$14</f>
        <v>516.41126691199997</v>
      </c>
      <c r="L23" s="12">
        <f>[20]Model!AE$14</f>
        <v>532.32689254024024</v>
      </c>
      <c r="M23" s="12">
        <f>[20]Model!AF$14</f>
        <v>548.06157472394511</v>
      </c>
      <c r="N23" s="11">
        <f t="shared" ref="N23:S23" si="29">$G23/H23</f>
        <v>10.645634674922601</v>
      </c>
      <c r="O23" s="11">
        <f t="shared" si="29"/>
        <v>6.9621624992546334</v>
      </c>
      <c r="P23" s="11">
        <f t="shared" si="29"/>
        <v>6.9636105150501733</v>
      </c>
      <c r="Q23" s="11">
        <f t="shared" si="29"/>
        <v>6.6585301683318052</v>
      </c>
      <c r="R23" s="11">
        <f t="shared" si="29"/>
        <v>6.4594519799505905</v>
      </c>
      <c r="S23" s="11">
        <f t="shared" si="29"/>
        <v>6.274003065681022</v>
      </c>
      <c r="T23" s="12">
        <f>[20]Model!$Z$3</f>
        <v>8005</v>
      </c>
      <c r="U23" s="13">
        <f>[20]Model!Z$18</f>
        <v>8.3133895956668535E-3</v>
      </c>
      <c r="V23" s="13">
        <f>[20]Model!AA$18</f>
        <v>-5.7089319175515296E-2</v>
      </c>
      <c r="W23" s="13">
        <f>[20]Model!$Z$19</f>
        <v>0.31767645221736412</v>
      </c>
      <c r="X23" s="13">
        <f>[20]Model!$Z$20</f>
        <v>8.1074328544659582E-2</v>
      </c>
      <c r="Y23" s="13">
        <f>[20]Model!$AO$21</f>
        <v>7.0000000000000007E-2</v>
      </c>
      <c r="Z23" s="13">
        <f>[20]Model!$AO$27</f>
        <v>0.69257009121192681</v>
      </c>
      <c r="AA23" s="9" t="str">
        <f>[20]Model!$AO$28</f>
        <v>Heavily undervalued</v>
      </c>
      <c r="AB23" s="9" t="s">
        <v>89</v>
      </c>
      <c r="AC23" s="9">
        <v>1974</v>
      </c>
      <c r="AE23" s="14">
        <f>[20]Main!$E$3</f>
        <v>44414</v>
      </c>
      <c r="AF23" s="14">
        <f>[20]Main!$G$3</f>
        <v>44428</v>
      </c>
    </row>
    <row r="24" spans="2:32" x14ac:dyDescent="0.3">
      <c r="B24" s="10" t="s">
        <v>35</v>
      </c>
      <c r="C24" t="s">
        <v>36</v>
      </c>
      <c r="D24" s="16">
        <f>[21]Main!$D$3</f>
        <v>2.6707000000000001</v>
      </c>
      <c r="E24" s="12">
        <f>[21]Main!$D$5</f>
        <v>3373.8953099999999</v>
      </c>
      <c r="F24" s="12">
        <f>[21]Main!$D$8</f>
        <v>199.6</v>
      </c>
      <c r="G24" s="12">
        <f>[21]Main!$D$9</f>
        <v>3174.29531</v>
      </c>
      <c r="H24" s="12">
        <f>[21]Model!Q$15</f>
        <v>63.700000000000045</v>
      </c>
      <c r="I24" s="12">
        <f>[21]Model!R$15</f>
        <v>90.699999999999918</v>
      </c>
      <c r="J24" s="12">
        <f>[21]Model!S$15</f>
        <v>130.4024672000001</v>
      </c>
      <c r="K24" s="12">
        <f>[21]Model!T$15</f>
        <v>169.06364251200009</v>
      </c>
      <c r="L24" s="12">
        <f>[21]Model!U$15</f>
        <v>217.71532383360008</v>
      </c>
      <c r="M24" s="12">
        <f>[21]Model!V$15</f>
        <v>239.43103634496006</v>
      </c>
      <c r="N24" s="11">
        <f t="shared" ref="N24:S24" si="30">$G24/H24</f>
        <v>49.831951491365743</v>
      </c>
      <c r="O24" s="11">
        <f t="shared" si="30"/>
        <v>34.997743219404661</v>
      </c>
      <c r="P24" s="11">
        <f t="shared" si="30"/>
        <v>24.342294882592508</v>
      </c>
      <c r="Q24" s="11">
        <f t="shared" si="30"/>
        <v>18.775741861676082</v>
      </c>
      <c r="R24" s="11">
        <f t="shared" si="30"/>
        <v>14.580027046815111</v>
      </c>
      <c r="S24" s="11">
        <f t="shared" si="30"/>
        <v>13.257660153241941</v>
      </c>
      <c r="T24" s="12">
        <f>[21]Model!$P$3</f>
        <v>856.9</v>
      </c>
      <c r="U24" s="13">
        <f>[21]Model!$P$19</f>
        <v>0.47792342186961023</v>
      </c>
      <c r="V24" s="13">
        <f>[21]Model!$Q$19</f>
        <v>0.44112498541253364</v>
      </c>
      <c r="W24" s="13">
        <f>[21]Model!$P$20</f>
        <v>0.54732174115999532</v>
      </c>
      <c r="X24" s="13">
        <f>[21]Model!$P$21</f>
        <v>6.8152643248920508E-2</v>
      </c>
      <c r="Y24" s="13">
        <f>[21]Model!$AD$22</f>
        <v>7.0000000000000007E-2</v>
      </c>
      <c r="Z24" s="13">
        <f>[21]Model!$AD$28</f>
        <v>0.30635127186451561</v>
      </c>
      <c r="AA24" s="9" t="str">
        <f>[21]Model!$AD$29</f>
        <v>Undervalued</v>
      </c>
      <c r="AB24" s="9" t="s">
        <v>39</v>
      </c>
      <c r="AC24" s="9">
        <v>2006</v>
      </c>
      <c r="AE24" s="14">
        <f>[21]Main!$E$3</f>
        <v>44414</v>
      </c>
      <c r="AF24" s="14">
        <f>[21]Main!$G$3</f>
        <v>44468</v>
      </c>
    </row>
    <row r="25" spans="2:32" x14ac:dyDescent="0.3">
      <c r="B25" s="10" t="s">
        <v>65</v>
      </c>
      <c r="C25" t="s">
        <v>66</v>
      </c>
      <c r="D25" s="16">
        <f>[22]Main!$D$3</f>
        <v>5.1260000000000003</v>
      </c>
      <c r="E25" s="12">
        <f>[22]Main!$D$5</f>
        <v>2572.9956999999999</v>
      </c>
      <c r="F25" s="12">
        <f>[22]Main!$D$8</f>
        <v>-273.59999999999991</v>
      </c>
      <c r="G25" s="12">
        <f>[22]Main!$D$9</f>
        <v>2846.5956999999999</v>
      </c>
      <c r="H25" s="12">
        <f>[22]Model!L$19</f>
        <v>93.800000000000111</v>
      </c>
      <c r="I25" s="12">
        <f>[22]Model!M$19</f>
        <v>55.037435000000372</v>
      </c>
      <c r="J25" s="12">
        <f>[22]Model!N$19</f>
        <v>51.007228399999846</v>
      </c>
      <c r="K25" s="12">
        <f>[22]Model!O$19</f>
        <v>88.324234017599892</v>
      </c>
      <c r="L25" s="12">
        <f>[22]Model!P$19</f>
        <v>136.44111789800246</v>
      </c>
      <c r="M25" s="12">
        <f>[22]Model!Q$19</f>
        <v>197.83815404990997</v>
      </c>
      <c r="N25" s="11">
        <f t="shared" ref="N25:S25" si="31">$G25/H25</f>
        <v>30.347502132196123</v>
      </c>
      <c r="O25" s="11">
        <f t="shared" si="31"/>
        <v>51.7210822052296</v>
      </c>
      <c r="P25" s="11">
        <f t="shared" si="31"/>
        <v>55.807692150550338</v>
      </c>
      <c r="Q25" s="11">
        <f t="shared" si="31"/>
        <v>32.228931636506175</v>
      </c>
      <c r="R25" s="11">
        <f t="shared" si="31"/>
        <v>20.86318071747252</v>
      </c>
      <c r="S25" s="11">
        <f t="shared" si="31"/>
        <v>14.388507179873251</v>
      </c>
      <c r="T25" s="12">
        <f>[22]Model!$K$3</f>
        <v>3701.9</v>
      </c>
      <c r="U25" s="13">
        <f>[22]Model!$K$23</f>
        <v>0.10191992856079768</v>
      </c>
      <c r="V25" s="13">
        <f>[22]Model!$L$23</f>
        <v>6.9018612064075224E-2</v>
      </c>
      <c r="W25" s="13">
        <f>[22]Model!$K$24</f>
        <v>0.42775331586482618</v>
      </c>
      <c r="X25" s="13">
        <f>[22]Model!$K$25</f>
        <v>0.1013577518155985</v>
      </c>
      <c r="Y25" s="13">
        <f>[22]Model!$Y$26</f>
        <v>7.0000000000000007E-2</v>
      </c>
      <c r="Z25" s="13">
        <f>[22]Model!$Y$32</f>
        <v>0.28587799282885329</v>
      </c>
      <c r="AA25" s="9" t="str">
        <f>[22]Model!$Y$33</f>
        <v>Slightly undervalued</v>
      </c>
      <c r="AB25" s="9" t="s">
        <v>71</v>
      </c>
      <c r="AC25" s="9">
        <v>1982</v>
      </c>
      <c r="AE25" s="14">
        <f>[22]Main!$E$3</f>
        <v>44314</v>
      </c>
      <c r="AF25" s="14">
        <f>[22]Main!$G$3</f>
        <v>44426</v>
      </c>
    </row>
    <row r="26" spans="2:32" x14ac:dyDescent="0.3">
      <c r="B26" s="10" t="s">
        <v>59</v>
      </c>
      <c r="C26" t="s">
        <v>64</v>
      </c>
      <c r="D26" s="18">
        <f>[23]Main!$D$3</f>
        <v>52.12</v>
      </c>
      <c r="E26" s="12">
        <f>[23]Main!$D$5</f>
        <v>3669.248</v>
      </c>
      <c r="F26" s="12">
        <f>[23]Main!$D$8</f>
        <v>-151</v>
      </c>
      <c r="G26" s="12">
        <f>[23]Main!$D$9</f>
        <v>3820.248</v>
      </c>
      <c r="H26" s="12">
        <f>[23]Model!AA$12</f>
        <v>-219.20000000000022</v>
      </c>
      <c r="I26" s="12">
        <f>[23]Model!AB$12</f>
        <v>88.993949999999515</v>
      </c>
      <c r="J26" s="12">
        <f>[23]Model!AC$12</f>
        <v>176.57354399999997</v>
      </c>
      <c r="K26" s="12">
        <f>[23]Model!AD$12</f>
        <v>253.07252991999985</v>
      </c>
      <c r="L26" s="12">
        <f>[23]Model!AE$12</f>
        <v>281.00328334400007</v>
      </c>
      <c r="M26" s="12">
        <f>[23]Model!AF$12</f>
        <v>301.886219923792</v>
      </c>
      <c r="N26" s="11">
        <f t="shared" ref="N26:S26" si="32">$G26/H26</f>
        <v>-17.428138686131369</v>
      </c>
      <c r="O26" s="11">
        <f t="shared" si="32"/>
        <v>42.92705290640567</v>
      </c>
      <c r="P26" s="11">
        <f t="shared" si="32"/>
        <v>21.635449532575507</v>
      </c>
      <c r="Q26" s="11">
        <f t="shared" si="32"/>
        <v>15.095466905110719</v>
      </c>
      <c r="R26" s="11">
        <f t="shared" si="32"/>
        <v>13.595029760998589</v>
      </c>
      <c r="S26" s="11">
        <f t="shared" si="32"/>
        <v>12.654595499471229</v>
      </c>
      <c r="T26" s="12">
        <f>[23]Model!$Z$3</f>
        <v>2884</v>
      </c>
      <c r="U26" s="13">
        <f>[23]Model!$Z$16</f>
        <v>3.1473533619456262E-2</v>
      </c>
      <c r="V26" s="13">
        <f>[23]Model!$AA$16</f>
        <v>-0.32531206657420253</v>
      </c>
      <c r="W26" s="13">
        <f>[23]Model!$Z$17</f>
        <v>0.65013869625520115</v>
      </c>
      <c r="X26" s="13">
        <f>[23]Model!$Z$18</f>
        <v>0.11858529819694869</v>
      </c>
      <c r="Y26" s="13">
        <f>[23]Model!$AN$19</f>
        <v>7.0000000000000007E-2</v>
      </c>
      <c r="Z26" s="13">
        <f>[23]Model!$AN$25</f>
        <v>0.15709054200584593</v>
      </c>
      <c r="AA26" s="9" t="str">
        <f>[23]Model!$AN$26</f>
        <v>Slightly undervalued</v>
      </c>
      <c r="AB26" s="9" t="s">
        <v>53</v>
      </c>
      <c r="AC26" s="9">
        <v>1924</v>
      </c>
      <c r="AE26" s="14">
        <f>[23]Main!$E$3</f>
        <v>44420</v>
      </c>
      <c r="AF26" s="14">
        <f>[23]Main!$G$3</f>
        <v>44504</v>
      </c>
    </row>
    <row r="27" spans="2:32" x14ac:dyDescent="0.3">
      <c r="B27" s="10" t="s">
        <v>60</v>
      </c>
      <c r="C27" t="s">
        <v>67</v>
      </c>
      <c r="D27" s="15">
        <f>[24]Main!$D$3</f>
        <v>23.12</v>
      </c>
      <c r="E27" s="12">
        <f>[24]Main!$D$5</f>
        <v>1500.4880000000003</v>
      </c>
      <c r="F27" s="12">
        <f>[24]Main!$D$8</f>
        <v>28.900000000000034</v>
      </c>
      <c r="G27" s="12">
        <f>[24]Main!$D$9</f>
        <v>1471.5880000000002</v>
      </c>
      <c r="H27" s="12">
        <f>[24]Model!V$16</f>
        <v>-79.44800000000015</v>
      </c>
      <c r="I27" s="12">
        <f>[24]Model!W$16</f>
        <v>101.0614097889281</v>
      </c>
      <c r="J27" s="12">
        <f>[24]Model!X$16</f>
        <v>108.57164350858073</v>
      </c>
      <c r="K27" s="12">
        <f>[24]Model!Y$16</f>
        <v>118.89691834163902</v>
      </c>
      <c r="L27" s="12">
        <f>[24]Model!Z$16</f>
        <v>150.1629365539747</v>
      </c>
      <c r="M27" s="12">
        <f>[24]Model!AA$16</f>
        <v>158.95136599485969</v>
      </c>
      <c r="N27" s="11">
        <f t="shared" ref="N27:S27" si="33">$G27/H27</f>
        <v>-18.522656328667775</v>
      </c>
      <c r="O27" s="11">
        <f t="shared" si="33"/>
        <v>14.56132467450718</v>
      </c>
      <c r="P27" s="11">
        <f t="shared" si="33"/>
        <v>13.554073167214202</v>
      </c>
      <c r="Q27" s="11">
        <f t="shared" si="33"/>
        <v>12.377007079119844</v>
      </c>
      <c r="R27" s="11">
        <f t="shared" si="33"/>
        <v>9.7999415419733165</v>
      </c>
      <c r="S27" s="11">
        <f t="shared" si="33"/>
        <v>9.2581022552998373</v>
      </c>
      <c r="T27" s="12">
        <f>[24]Model!$U$3</f>
        <v>2678.1000000000004</v>
      </c>
      <c r="U27" s="13">
        <f>[24]Model!$U$20</f>
        <v>2.0189707058778872E-2</v>
      </c>
      <c r="V27" s="13">
        <f>[24]Model!$V$20</f>
        <v>-0.29927933983047694</v>
      </c>
      <c r="W27" s="13">
        <f>[24]Model!$U$21</f>
        <v>0.37926141667600177</v>
      </c>
      <c r="X27" s="13">
        <f>[24]Model!$U$22</f>
        <v>5.2537246555393928E-2</v>
      </c>
      <c r="Y27" s="13">
        <f>[24]Model!$AJ$23</f>
        <v>0.08</v>
      </c>
      <c r="Z27" s="13">
        <f>[24]Model!$AJ$29</f>
        <v>0.34018971080534643</v>
      </c>
      <c r="AA27" s="9" t="str">
        <f>[24]Model!$AJ$30</f>
        <v>Undervalued</v>
      </c>
      <c r="AB27" s="9" t="s">
        <v>53</v>
      </c>
      <c r="AC27" s="9">
        <v>1981</v>
      </c>
      <c r="AE27" s="14">
        <f>[24]Main!$E$3</f>
        <v>44420</v>
      </c>
      <c r="AF27" s="14">
        <f>[24]Main!$G$3</f>
        <v>44440</v>
      </c>
    </row>
    <row r="28" spans="2:32" x14ac:dyDescent="0.3">
      <c r="B28" s="10" t="s">
        <v>75</v>
      </c>
      <c r="C28" t="s">
        <v>82</v>
      </c>
      <c r="D28" s="16">
        <f>[25]Main!$D$3</f>
        <v>3.8</v>
      </c>
      <c r="E28" s="12">
        <f>[25]Main!$D$5</f>
        <v>311.97999999999996</v>
      </c>
      <c r="F28" s="12">
        <f>[25]Main!$D$8</f>
        <v>27.000000000000004</v>
      </c>
      <c r="G28" s="12">
        <f>[25]Main!$D$9</f>
        <v>284.97999999999996</v>
      </c>
      <c r="H28" s="12">
        <f>[25]Model!Q$13</f>
        <v>-187.27359999999993</v>
      </c>
      <c r="I28" s="12">
        <f>[25]Model!R$13</f>
        <v>9.1225600000000533</v>
      </c>
      <c r="J28" s="12">
        <f>[25]Model!S$13</f>
        <v>21.122176000000088</v>
      </c>
      <c r="K28" s="12">
        <f>[25]Model!T$13</f>
        <v>29.690712320000092</v>
      </c>
      <c r="L28" s="12">
        <f>[25]Model!U$13</f>
        <v>34.583359705600088</v>
      </c>
      <c r="M28" s="12">
        <f>[25]Model!V$13</f>
        <v>35.584291158656058</v>
      </c>
      <c r="N28" s="11">
        <f t="shared" ref="N28:S28" si="34">$G28/H28</f>
        <v>-1.5217307725167886</v>
      </c>
      <c r="O28" s="11">
        <f t="shared" si="34"/>
        <v>31.239038164725503</v>
      </c>
      <c r="P28" s="11">
        <f t="shared" si="34"/>
        <v>13.491981129216931</v>
      </c>
      <c r="Q28" s="11">
        <f t="shared" si="34"/>
        <v>9.5982877382174934</v>
      </c>
      <c r="R28" s="11">
        <f t="shared" si="34"/>
        <v>8.2403792582897353</v>
      </c>
      <c r="S28" s="11">
        <f t="shared" si="34"/>
        <v>8.0085900469223521</v>
      </c>
      <c r="T28" s="12">
        <f>[25]Model!$P$3</f>
        <v>704.4</v>
      </c>
      <c r="U28" s="13">
        <f>[25]Model!P$17</f>
        <v>-0.19192382700470356</v>
      </c>
      <c r="V28" s="13">
        <f>[25]Model!Q$17</f>
        <v>-0.20954003407155031</v>
      </c>
      <c r="W28" s="13">
        <f>[25]Model!$P$18</f>
        <v>0.53648495173197042</v>
      </c>
      <c r="X28" s="13">
        <f>[25]Model!$P$19</f>
        <v>-0.22629187961385583</v>
      </c>
      <c r="Y28" s="13">
        <f>[25]Model!$AD$20</f>
        <v>0.09</v>
      </c>
      <c r="Z28" s="13">
        <f>[25]Model!$AD$26</f>
        <v>-0.41684611553599948</v>
      </c>
      <c r="AA28" s="9" t="str">
        <f>[25]Model!$AD$27</f>
        <v>Heavily overvalued</v>
      </c>
      <c r="AB28" s="9" t="s">
        <v>53</v>
      </c>
      <c r="AC28" s="9">
        <v>2003</v>
      </c>
      <c r="AE28" s="14">
        <f>[25]Main!$E$3</f>
        <v>44420</v>
      </c>
      <c r="AF28" s="14">
        <f>[25]Main!$G$3</f>
        <v>44468</v>
      </c>
    </row>
    <row r="29" spans="2:32" x14ac:dyDescent="0.3">
      <c r="B29" s="10" t="s">
        <v>85</v>
      </c>
      <c r="C29" t="s">
        <v>86</v>
      </c>
      <c r="D29" s="16">
        <f>[26]Main!$D$3</f>
        <v>2.65</v>
      </c>
      <c r="E29" s="12">
        <f>[26]Main!$D$5</f>
        <v>294.68</v>
      </c>
      <c r="F29" s="12">
        <f>[26]Main!$D$8</f>
        <v>4.0999999999999996</v>
      </c>
      <c r="G29" s="12">
        <f>[26]Main!$D$9</f>
        <v>290.58</v>
      </c>
      <c r="H29" s="12">
        <f>[26]Model!R$11</f>
        <v>-20.799999999999983</v>
      </c>
      <c r="I29" s="12">
        <f>[26]Model!S$11</f>
        <v>0.79999999999999982</v>
      </c>
      <c r="J29" s="12">
        <f>[26]Model!T$11</f>
        <v>2.1576170000000006</v>
      </c>
      <c r="K29" s="12">
        <f>[26]Model!U$11</f>
        <v>6.5612843999999839</v>
      </c>
      <c r="L29" s="12">
        <f>[26]Model!V$11</f>
        <v>9.9032996799999644</v>
      </c>
      <c r="M29" s="12">
        <f>[26]Model!W$11</f>
        <v>14.688321466799994</v>
      </c>
      <c r="N29" s="11">
        <f t="shared" ref="N29:S29" si="35">$G29/H29</f>
        <v>-13.970192307692319</v>
      </c>
      <c r="O29" s="11">
        <f t="shared" si="35"/>
        <v>363.22500000000008</v>
      </c>
      <c r="P29" s="11">
        <f t="shared" si="35"/>
        <v>134.67635822298394</v>
      </c>
      <c r="Q29" s="11">
        <f t="shared" si="35"/>
        <v>44.287060624898487</v>
      </c>
      <c r="R29" s="11">
        <f t="shared" si="35"/>
        <v>29.341735521427847</v>
      </c>
      <c r="S29" s="11">
        <f t="shared" si="35"/>
        <v>19.783063752845948</v>
      </c>
      <c r="T29" s="12">
        <f>[26]Model!$Q$3</f>
        <v>218</v>
      </c>
      <c r="U29" s="13">
        <f>[26]Model!Q$15</f>
        <v>0.17267348036578811</v>
      </c>
      <c r="V29" s="13">
        <f>[26]Model!R$15</f>
        <v>-0.12477064220183476</v>
      </c>
      <c r="W29" s="13">
        <f>[26]Model!$Q$16</f>
        <v>0.54770642201834863</v>
      </c>
      <c r="X29" s="13">
        <f>[26]Model!$Q$17</f>
        <v>6.0091743119266093E-2</v>
      </c>
      <c r="Y29" s="13">
        <f>[26]Model!$AF$18</f>
        <v>0.1</v>
      </c>
      <c r="Z29" s="13">
        <f>[26]Model!$AF$24</f>
        <v>-0.38082184550693621</v>
      </c>
      <c r="AA29" s="9" t="str">
        <f>[26]Model!$AF$25</f>
        <v>Overvalued</v>
      </c>
      <c r="AB29" s="9" t="s">
        <v>78</v>
      </c>
      <c r="AC29" s="9">
        <v>1989</v>
      </c>
      <c r="AE29" s="14">
        <f>[26]Main!$E$3</f>
        <v>44420</v>
      </c>
      <c r="AF29" s="14" t="str">
        <f>[26]Main!$G$3</f>
        <v>January?</v>
      </c>
    </row>
    <row r="30" spans="2:32" x14ac:dyDescent="0.3">
      <c r="B30" s="10" t="s">
        <v>97</v>
      </c>
      <c r="C30" t="s">
        <v>98</v>
      </c>
      <c r="D30" s="16">
        <f>[27]Main!$D$3</f>
        <v>3.23</v>
      </c>
      <c r="E30" s="12">
        <f>[27]Main!$D$5</f>
        <v>192.185</v>
      </c>
      <c r="F30" s="12">
        <f>[27]Main!$D$8</f>
        <v>7.2</v>
      </c>
      <c r="G30" s="12">
        <f>[27]Main!$D$9</f>
        <v>184.98500000000001</v>
      </c>
      <c r="H30" s="12">
        <f>[27]Model!V$16</f>
        <v>-43.999999999999979</v>
      </c>
      <c r="I30" s="12">
        <f>[27]Model!W$16</f>
        <v>4.3999999999999986</v>
      </c>
      <c r="J30" s="12">
        <f>[27]Model!X$16</f>
        <v>1.0843350000000069</v>
      </c>
      <c r="K30" s="12">
        <f>[27]Model!Y$16</f>
        <v>7.5307168300000065</v>
      </c>
      <c r="L30" s="12">
        <f>[27]Model!Z$16</f>
        <v>10.647710536400007</v>
      </c>
      <c r="M30" s="12">
        <f>[27]Model!AA$16</f>
        <v>11.628096063220013</v>
      </c>
      <c r="N30" s="11">
        <f t="shared" ref="N30:S30" si="36">$G30/H30</f>
        <v>-4.204204545454548</v>
      </c>
      <c r="O30" s="11">
        <f t="shared" si="36"/>
        <v>42.042045454545473</v>
      </c>
      <c r="P30" s="11">
        <f t="shared" si="36"/>
        <v>170.59764740601275</v>
      </c>
      <c r="Q30" s="11">
        <f t="shared" si="36"/>
        <v>24.564062648468997</v>
      </c>
      <c r="R30" s="11">
        <f t="shared" si="36"/>
        <v>17.3732183428179</v>
      </c>
      <c r="S30" s="11">
        <f t="shared" si="36"/>
        <v>15.908451305722579</v>
      </c>
      <c r="T30" s="12">
        <f>[27]Model!$U$3</f>
        <v>166.3</v>
      </c>
      <c r="U30" s="13">
        <f>[27]Model!V$20</f>
        <v>-0.10222489476849073</v>
      </c>
      <c r="V30" s="13">
        <f>[27]Model!W$20</f>
        <v>-0.22973878097789691</v>
      </c>
      <c r="W30" s="13">
        <f>[27]Model!$U$21</f>
        <v>0.61515333734215272</v>
      </c>
      <c r="X30" s="13">
        <f>[27]Model!$U$22</f>
        <v>-3.0066145520144277E-2</v>
      </c>
      <c r="Y30" s="13">
        <f>[27]Model!$AJ$23</f>
        <v>0.1</v>
      </c>
      <c r="Z30" s="13">
        <f>[27]Model!$AJ$29</f>
        <v>-0.33191218096567465</v>
      </c>
      <c r="AA30" s="9" t="str">
        <f>[27]Model!$AJ$30</f>
        <v>Overvalued</v>
      </c>
      <c r="AB30" s="9" t="s">
        <v>53</v>
      </c>
      <c r="AC30" s="9">
        <v>1971</v>
      </c>
      <c r="AE30" s="14">
        <f>[27]Main!$E$3</f>
        <v>44420</v>
      </c>
      <c r="AF30" s="14" t="str">
        <f>[27]Main!$G$3</f>
        <v>November?</v>
      </c>
    </row>
    <row r="31" spans="2:32" x14ac:dyDescent="0.3">
      <c r="B31" s="10" t="s">
        <v>74</v>
      </c>
      <c r="C31" t="s">
        <v>81</v>
      </c>
      <c r="D31" s="16">
        <f>[28]Main!$D$3</f>
        <v>1.359</v>
      </c>
      <c r="E31" s="12">
        <f>[28]Main!$D$5</f>
        <v>209.15010000000001</v>
      </c>
      <c r="F31" s="12">
        <f>[28]Main!$D$8</f>
        <v>66.7</v>
      </c>
      <c r="G31" s="12">
        <f>[28]Main!$D$9</f>
        <v>142.45010000000002</v>
      </c>
      <c r="H31" s="12">
        <f>[28]Model!N$15</f>
        <v>-86.299999999999983</v>
      </c>
      <c r="I31" s="12">
        <f>[28]Model!O$15</f>
        <v>-51.920400000000001</v>
      </c>
      <c r="J31" s="12">
        <f>[28]Model!P$15</f>
        <v>2.5738803000000061</v>
      </c>
      <c r="K31" s="12">
        <f>[28]Model!Q$15</f>
        <v>6.7049242830000146</v>
      </c>
      <c r="L31" s="12">
        <f>[28]Model!R$15</f>
        <v>8.8962762453300108</v>
      </c>
      <c r="M31" s="12">
        <f>[28]Model!S$15</f>
        <v>10.069960158325822</v>
      </c>
      <c r="N31" s="11">
        <f t="shared" ref="N31:S31" si="37">$G31/H31</f>
        <v>-1.6506384704519126</v>
      </c>
      <c r="O31" s="11">
        <f t="shared" si="37"/>
        <v>-2.7436248565111212</v>
      </c>
      <c r="P31" s="11">
        <f t="shared" si="37"/>
        <v>55.344492904351334</v>
      </c>
      <c r="Q31" s="11">
        <f t="shared" si="37"/>
        <v>21.245594131640651</v>
      </c>
      <c r="R31" s="11">
        <f t="shared" si="37"/>
        <v>16.012328762247847</v>
      </c>
      <c r="S31" s="11">
        <f t="shared" si="37"/>
        <v>14.146044051844891</v>
      </c>
      <c r="T31" s="12">
        <f>[28]Model!$M$3</f>
        <v>630.5</v>
      </c>
      <c r="U31" s="13">
        <f>[28]Model!M$19</f>
        <v>-1.4227642276422814E-2</v>
      </c>
      <c r="V31" s="13">
        <f>[28]Model!N$19</f>
        <v>-0.44171292624900871</v>
      </c>
      <c r="W31" s="13">
        <f>[28]Model!$M$20</f>
        <v>0.48707375099127681</v>
      </c>
      <c r="X31" s="13">
        <f>[28]Model!$M$21</f>
        <v>-9.8651863600317177E-2</v>
      </c>
      <c r="Y31" s="13">
        <f>[28]Model!$AA$22</f>
        <v>0.11</v>
      </c>
      <c r="Z31" s="13">
        <f>[28]Model!$AA$28</f>
        <v>-0.53234688884605774</v>
      </c>
      <c r="AA31" s="9" t="str">
        <f>[28]Model!$AA$29</f>
        <v>Heavily overvalued</v>
      </c>
      <c r="AB31" s="9" t="s">
        <v>53</v>
      </c>
      <c r="AC31" s="9">
        <v>1988</v>
      </c>
      <c r="AE31" s="14">
        <f>[28]Main!$E$3</f>
        <v>44414</v>
      </c>
      <c r="AF31" s="14">
        <f>[28]Main!$G$3</f>
        <v>44446</v>
      </c>
    </row>
    <row r="32" spans="2:32" x14ac:dyDescent="0.3">
      <c r="B32" s="10" t="s">
        <v>51</v>
      </c>
      <c r="C32" t="s">
        <v>52</v>
      </c>
      <c r="D32" s="16">
        <f>[29]Main!$D$3</f>
        <v>0.1898</v>
      </c>
      <c r="E32" s="12">
        <f>[29]Main!$D$5</f>
        <v>18.334679999999999</v>
      </c>
      <c r="F32" s="12">
        <f>[29]Main!$D$8</f>
        <v>-1.2999999999999998</v>
      </c>
      <c r="G32" s="12">
        <f>[29]Main!$D$9</f>
        <v>19.634679999999999</v>
      </c>
      <c r="H32" s="12">
        <f>[29]Model!U$13</f>
        <v>-11.700000000000005</v>
      </c>
      <c r="I32" s="12">
        <f>[29]Model!V$13</f>
        <v>-2.4170999999999907</v>
      </c>
      <c r="J32" s="12">
        <f>[29]Model!W$13</f>
        <v>1.1344800000000044</v>
      </c>
      <c r="K32" s="12">
        <f>[29]Model!X$13</f>
        <v>2.2268539999999986</v>
      </c>
      <c r="L32" s="12">
        <f>[29]Model!Y$13</f>
        <v>2.8371353699999995</v>
      </c>
      <c r="M32" s="12">
        <f>[29]Model!Z$13</f>
        <v>3.4478394224000004</v>
      </c>
      <c r="N32" s="11">
        <f t="shared" ref="N32" si="38">$G32/H32</f>
        <v>-1.6781777777777771</v>
      </c>
      <c r="O32" s="11">
        <f t="shared" ref="O32" si="39">$G32/I32</f>
        <v>-8.1232385917008294</v>
      </c>
      <c r="P32" s="11">
        <f t="shared" ref="P32" si="40">$G32/J32</f>
        <v>17.307206826034768</v>
      </c>
      <c r="Q32" s="11">
        <f t="shared" ref="Q32" si="41">$G32/K32</f>
        <v>8.81722825115612</v>
      </c>
      <c r="R32" s="11">
        <f t="shared" ref="R32" si="42">$G32/L32</f>
        <v>6.9206003377977705</v>
      </c>
      <c r="S32" s="11">
        <f t="shared" ref="S32" si="43">$G32/M32</f>
        <v>5.6947779738339817</v>
      </c>
      <c r="T32" s="12">
        <f>[29]Model!$T$3</f>
        <v>119.9</v>
      </c>
      <c r="U32" s="13">
        <f>[29]Model!T$17</f>
        <v>-0.11382113821138218</v>
      </c>
      <c r="V32" s="13">
        <f>[29]Model!U$17</f>
        <v>-0.40366972477064222</v>
      </c>
      <c r="W32" s="13">
        <f>[29]Model!$S$18</f>
        <v>0.4227642276422765</v>
      </c>
      <c r="X32" s="13">
        <f>[29]Model!$S$19</f>
        <v>-6.356245380635607E-2</v>
      </c>
      <c r="Y32" s="13">
        <f>[29]Model!$AG$20</f>
        <v>0.12</v>
      </c>
      <c r="Z32" s="13">
        <f>[29]Model!$AG$26</f>
        <v>0.26523031448975987</v>
      </c>
      <c r="AA32" s="9" t="str">
        <f>[29]Model!$AG$27</f>
        <v>Slightly undervalued</v>
      </c>
      <c r="AB32" s="9" t="s">
        <v>53</v>
      </c>
      <c r="AC32" s="9">
        <v>1972</v>
      </c>
      <c r="AE32" s="14">
        <f>[29]Main!$E$3</f>
        <v>44414</v>
      </c>
      <c r="AF32" s="14">
        <f>[29]Main!$G$3</f>
        <v>44481</v>
      </c>
    </row>
    <row r="33" spans="2:3" x14ac:dyDescent="0.3">
      <c r="B33" t="s">
        <v>63</v>
      </c>
      <c r="C33" t="s">
        <v>101</v>
      </c>
    </row>
    <row r="34" spans="2:3" x14ac:dyDescent="0.3">
      <c r="B34" t="s">
        <v>99</v>
      </c>
      <c r="C34" t="s">
        <v>100</v>
      </c>
    </row>
  </sheetData>
  <hyperlinks>
    <hyperlink ref="B17" r:id="rId1" xr:uid="{DA7D258B-E0C6-4D4A-85D1-1AF4F3DC563A}"/>
    <hyperlink ref="B21" r:id="rId2" xr:uid="{673C81BB-FCDE-4C96-873A-D7236BE9D665}"/>
    <hyperlink ref="B24" r:id="rId3" xr:uid="{424FBB75-410B-4728-8452-A1B9C955D2BD}"/>
    <hyperlink ref="B11" r:id="rId4" xr:uid="{3236F780-4698-44BA-938E-A4FA2F0FAFF0}"/>
    <hyperlink ref="B19" r:id="rId5" xr:uid="{7F89A1EE-5A68-462F-BF57-E95106CD0EA3}"/>
    <hyperlink ref="B9" r:id="rId6" xr:uid="{1690E69C-C546-426E-AF5D-1B9B01B836EE}"/>
    <hyperlink ref="B7" r:id="rId7" xr:uid="{2BB26A59-2014-4139-AB4A-E3DE7DCFFED0}"/>
    <hyperlink ref="B32" r:id="rId8" xr:uid="{593804EA-AF86-4547-A40A-BB9AB7FC6E54}"/>
    <hyperlink ref="B16" r:id="rId9" xr:uid="{69B64076-88BE-4E21-BE2B-734DE3EF3A7F}"/>
    <hyperlink ref="B18" r:id="rId10" xr:uid="{DFCC2DE3-C064-4C1F-B3B1-E4811C3D6966}"/>
    <hyperlink ref="B26" r:id="rId11" xr:uid="{E4FA7751-91BD-4669-A831-94A1FA859FFF}"/>
    <hyperlink ref="B25" r:id="rId12" xr:uid="{465BF84E-5A0B-4AD7-A9F2-6F4B30AF32D5}"/>
    <hyperlink ref="B27" r:id="rId13" xr:uid="{438796BA-9488-4200-B318-0F44A38336CB}"/>
    <hyperlink ref="B4" r:id="rId14" xr:uid="{8DB91714-347E-4AB2-A647-0233C1ED7E68}"/>
    <hyperlink ref="B8" r:id="rId15" xr:uid="{74B47F73-039F-4D37-8CDD-73E7C9AE7E6C}"/>
    <hyperlink ref="B6" r:id="rId16" xr:uid="{2BC4FD8F-E2A2-4FDE-AB13-34654C2D060C}"/>
    <hyperlink ref="B20" r:id="rId17" xr:uid="{26A35932-6F2B-45D3-8D83-6233C5047263}"/>
    <hyperlink ref="B31" r:id="rId18" xr:uid="{6E8CBACC-C59C-43DB-B959-200087099933}"/>
    <hyperlink ref="B28" r:id="rId19" xr:uid="{45C94EBA-7C08-4C0A-8B48-132D4A32A248}"/>
    <hyperlink ref="B14" r:id="rId20" xr:uid="{C48AF09C-4EA3-4F11-84F2-A4A252919D7F}"/>
    <hyperlink ref="B13" r:id="rId21" xr:uid="{AB3C4645-63F0-4ED1-9CB8-0AEDF0C73CF2}"/>
    <hyperlink ref="B12" r:id="rId22" xr:uid="{8AA59C57-DE47-4555-A7CF-FD31AFD34E52}"/>
    <hyperlink ref="B29" r:id="rId23" xr:uid="{EE8F1074-CABF-4F54-B253-67E433D619D4}"/>
    <hyperlink ref="B23" r:id="rId24" xr:uid="{7419B50C-9155-4143-90C6-F2721D0E0A2E}"/>
    <hyperlink ref="B15" r:id="rId25" xr:uid="{4DD3E012-D34F-4543-BDF2-3E421213508C}"/>
    <hyperlink ref="B22" r:id="rId26" xr:uid="{52C7F6C9-F662-477A-AB17-B81252D4A9F0}"/>
    <hyperlink ref="B10" r:id="rId27" xr:uid="{A6BF5463-BDAE-4F8D-8775-29FDB8DFC147}"/>
    <hyperlink ref="B5" r:id="rId28" xr:uid="{426D7029-8B72-4918-B3F9-08D3C26E6B19}"/>
    <hyperlink ref="B30" r:id="rId29" xr:uid="{DD3B037E-89A7-4564-8534-2BDFEF663BE3}"/>
  </hyperlinks>
  <pageMargins left="0.7" right="0.7" top="0.75" bottom="0.75" header="0.3" footer="0.3"/>
  <pageSetup paperSize="9" orientation="portrait" horizontalDpi="4294967293" verticalDpi="0" r:id="rId30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cp:lastPrinted>2020-12-05T21:15:17Z</cp:lastPrinted>
  <dcterms:created xsi:type="dcterms:W3CDTF">2020-12-05T13:18:08Z</dcterms:created>
  <dcterms:modified xsi:type="dcterms:W3CDTF">2024-07-06T19:57:28Z</dcterms:modified>
</cp:coreProperties>
</file>