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ADE0FE06-B089-4D2E-995F-F32192D159DB}" xr6:coauthVersionLast="47" xr6:coauthVersionMax="47" xr10:uidLastSave="{00000000-0000-0000-0000-000000000000}"/>
  <bookViews>
    <workbookView xWindow="-108" yWindow="-108" windowWidth="23256" windowHeight="12576" xr2:uid="{4E122305-8C8A-4700-8BB3-18DD9512A165}"/>
  </bookViews>
  <sheets>
    <sheet name="Model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0" i="1" l="1"/>
  <c r="AD40" i="1"/>
  <c r="G40" i="1"/>
  <c r="F40" i="1"/>
  <c r="E40" i="1"/>
  <c r="D40" i="1"/>
  <c r="AE21" i="1" l="1"/>
  <c r="AD21" i="1"/>
  <c r="Z21" i="1"/>
  <c r="X21" i="1"/>
  <c r="W21" i="1"/>
  <c r="V21" i="1"/>
  <c r="U21" i="1"/>
  <c r="T21" i="1"/>
  <c r="S21" i="1"/>
  <c r="L21" i="1"/>
  <c r="K21" i="1"/>
  <c r="J21" i="1"/>
  <c r="O21" i="1" s="1"/>
  <c r="I21" i="1"/>
  <c r="N21" i="1" s="1"/>
  <c r="H21" i="1"/>
  <c r="G21" i="1"/>
  <c r="F21" i="1"/>
  <c r="E21" i="1"/>
  <c r="D21" i="1"/>
  <c r="W30" i="1"/>
  <c r="V30" i="1"/>
  <c r="U30" i="1"/>
  <c r="T30" i="1"/>
  <c r="S30" i="1"/>
  <c r="L30" i="1"/>
  <c r="K30" i="1"/>
  <c r="J30" i="1"/>
  <c r="I30" i="1"/>
  <c r="H30" i="1"/>
  <c r="M21" i="1" l="1"/>
  <c r="Y21" i="1"/>
  <c r="P21" i="1"/>
  <c r="R21" i="1"/>
  <c r="Q21" i="1"/>
  <c r="AE29" i="1"/>
  <c r="AD29" i="1"/>
  <c r="Z29" i="1"/>
  <c r="Y29" i="1"/>
  <c r="X29" i="1"/>
  <c r="W29" i="1"/>
  <c r="V29" i="1"/>
  <c r="U29" i="1"/>
  <c r="T29" i="1"/>
  <c r="S29" i="1"/>
  <c r="L29" i="1"/>
  <c r="K29" i="1"/>
  <c r="J29" i="1"/>
  <c r="I29" i="1"/>
  <c r="H29" i="1"/>
  <c r="G29" i="1"/>
  <c r="R29" i="1" s="1"/>
  <c r="E29" i="1"/>
  <c r="F29" i="1"/>
  <c r="D29" i="1"/>
  <c r="AE38" i="1"/>
  <c r="AD38" i="1"/>
  <c r="Z38" i="1"/>
  <c r="Y38" i="1"/>
  <c r="X38" i="1"/>
  <c r="W38" i="1"/>
  <c r="V38" i="1"/>
  <c r="U38" i="1"/>
  <c r="S38" i="1"/>
  <c r="L38" i="1"/>
  <c r="K38" i="1"/>
  <c r="J38" i="1"/>
  <c r="I38" i="1"/>
  <c r="H38" i="1"/>
  <c r="G38" i="1"/>
  <c r="R38" i="1" s="1"/>
  <c r="F38" i="1"/>
  <c r="E38" i="1"/>
  <c r="D38" i="1"/>
  <c r="M29" i="1" l="1"/>
  <c r="N29" i="1"/>
  <c r="O29" i="1"/>
  <c r="Q29" i="1"/>
  <c r="P29" i="1"/>
  <c r="M38" i="1"/>
  <c r="N38" i="1"/>
  <c r="O38" i="1"/>
  <c r="Q38" i="1"/>
  <c r="P38" i="1"/>
  <c r="W37" i="1"/>
  <c r="V37" i="1"/>
  <c r="Z34" i="1" l="1"/>
  <c r="Y34" i="1"/>
  <c r="X34" i="1"/>
  <c r="L34" i="1"/>
  <c r="K34" i="1"/>
  <c r="J34" i="1"/>
  <c r="I34" i="1"/>
  <c r="H34" i="1"/>
  <c r="W34" i="1" l="1"/>
  <c r="V34" i="1"/>
  <c r="U34" i="1"/>
  <c r="T34" i="1"/>
  <c r="S34" i="1"/>
  <c r="AE34" i="1"/>
  <c r="AD34" i="1"/>
  <c r="G34" i="1"/>
  <c r="F34" i="1"/>
  <c r="E34" i="1"/>
  <c r="D34" i="1"/>
  <c r="S43" i="1"/>
  <c r="O34" i="1" l="1"/>
  <c r="R34" i="1"/>
  <c r="Q34" i="1"/>
  <c r="N34" i="1"/>
  <c r="P34" i="1"/>
  <c r="M34" i="1"/>
  <c r="AE52" i="1"/>
  <c r="AD52" i="1"/>
  <c r="Z52" i="1"/>
  <c r="X52" i="1"/>
  <c r="W52" i="1"/>
  <c r="V52" i="1"/>
  <c r="U52" i="1"/>
  <c r="T52" i="1"/>
  <c r="S52" i="1"/>
  <c r="L52" i="1"/>
  <c r="K52" i="1"/>
  <c r="J52" i="1"/>
  <c r="I52" i="1"/>
  <c r="H52" i="1"/>
  <c r="G52" i="1"/>
  <c r="R52" i="1" s="1"/>
  <c r="F52" i="1"/>
  <c r="E52" i="1"/>
  <c r="D52" i="1"/>
  <c r="Y52" i="1"/>
  <c r="W19" i="1"/>
  <c r="V19" i="1"/>
  <c r="U19" i="1"/>
  <c r="T19" i="1"/>
  <c r="S19" i="1"/>
  <c r="L19" i="1"/>
  <c r="K19" i="1"/>
  <c r="J19" i="1"/>
  <c r="I19" i="1"/>
  <c r="H19" i="1"/>
  <c r="M52" i="1" l="1"/>
  <c r="N52" i="1"/>
  <c r="P52" i="1"/>
  <c r="Q52" i="1"/>
  <c r="O52" i="1"/>
  <c r="Z41" i="1"/>
  <c r="Y41" i="1"/>
  <c r="X41" i="1"/>
  <c r="W41" i="1"/>
  <c r="V41" i="1"/>
  <c r="U41" i="1"/>
  <c r="T41" i="1"/>
  <c r="S41" i="1"/>
  <c r="L41" i="1"/>
  <c r="K41" i="1"/>
  <c r="J41" i="1"/>
  <c r="I41" i="1"/>
  <c r="H41" i="1"/>
  <c r="L50" i="1" l="1"/>
  <c r="K50" i="1"/>
  <c r="J50" i="1"/>
  <c r="I50" i="1"/>
  <c r="H50" i="1"/>
  <c r="W15" i="1" l="1"/>
  <c r="V15" i="1"/>
  <c r="U15" i="1"/>
  <c r="T15" i="1"/>
  <c r="S15" i="1"/>
  <c r="L15" i="1"/>
  <c r="K15" i="1"/>
  <c r="J15" i="1"/>
  <c r="I15" i="1"/>
  <c r="H15" i="1"/>
  <c r="W44" i="1" l="1"/>
  <c r="V44" i="1"/>
  <c r="Y32" i="1" l="1"/>
  <c r="W46" i="1" l="1"/>
  <c r="V46" i="1"/>
  <c r="V48" i="1" l="1"/>
  <c r="W48" i="1" l="1"/>
  <c r="Y26" i="1" l="1"/>
  <c r="Y50" i="1" l="1"/>
  <c r="X47" i="1" l="1"/>
  <c r="Z47" i="1"/>
  <c r="Y47" i="1"/>
  <c r="Z5" i="1" l="1"/>
  <c r="X5" i="1"/>
  <c r="W5" i="1"/>
  <c r="V5" i="1"/>
  <c r="U4" i="1"/>
  <c r="U5" i="1"/>
  <c r="U6" i="1"/>
  <c r="U7" i="1"/>
  <c r="U8" i="1"/>
  <c r="U9" i="1"/>
  <c r="U10" i="1"/>
  <c r="U12" i="1"/>
  <c r="U13" i="1"/>
  <c r="U14" i="1"/>
  <c r="U16" i="1"/>
  <c r="U17" i="1"/>
  <c r="U20" i="1"/>
  <c r="U22" i="1"/>
  <c r="U23" i="1"/>
  <c r="U24" i="1"/>
  <c r="U25" i="1"/>
  <c r="U26" i="1"/>
  <c r="U27" i="1"/>
  <c r="U28" i="1"/>
  <c r="U32" i="1"/>
  <c r="U35" i="1"/>
  <c r="U36" i="1"/>
  <c r="U33" i="1"/>
  <c r="U37" i="1"/>
  <c r="U31" i="1"/>
  <c r="U39" i="1"/>
  <c r="U42" i="1"/>
  <c r="U43" i="1"/>
  <c r="U44" i="1"/>
  <c r="U45" i="1"/>
  <c r="U47" i="1"/>
  <c r="U48" i="1"/>
  <c r="U49" i="1"/>
  <c r="U50" i="1"/>
  <c r="U51" i="1"/>
  <c r="U53" i="1"/>
  <c r="U55" i="1"/>
  <c r="U56" i="1"/>
  <c r="U57" i="1"/>
  <c r="U58" i="1"/>
  <c r="U59" i="1"/>
  <c r="U60" i="1"/>
  <c r="T60" i="1"/>
  <c r="T59" i="1"/>
  <c r="T58" i="1"/>
  <c r="T57" i="1"/>
  <c r="T56" i="1"/>
  <c r="T55" i="1"/>
  <c r="T53" i="1"/>
  <c r="T51" i="1"/>
  <c r="T50" i="1"/>
  <c r="T49" i="1"/>
  <c r="T48" i="1"/>
  <c r="T47" i="1"/>
  <c r="T45" i="1"/>
  <c r="T44" i="1"/>
  <c r="T43" i="1"/>
  <c r="T42" i="1"/>
  <c r="T39" i="1"/>
  <c r="T31" i="1"/>
  <c r="T37" i="1"/>
  <c r="T33" i="1"/>
  <c r="T36" i="1"/>
  <c r="T35" i="1"/>
  <c r="T32" i="1"/>
  <c r="T28" i="1"/>
  <c r="T27" i="1"/>
  <c r="T26" i="1"/>
  <c r="T25" i="1"/>
  <c r="T24" i="1"/>
  <c r="T23" i="1"/>
  <c r="T22" i="1"/>
  <c r="T20" i="1"/>
  <c r="T17" i="1"/>
  <c r="T16" i="1"/>
  <c r="T14" i="1"/>
  <c r="T13" i="1"/>
  <c r="T12" i="1"/>
  <c r="T10" i="1"/>
  <c r="T9" i="1"/>
  <c r="T8" i="1"/>
  <c r="T7" i="1"/>
  <c r="T6" i="1"/>
  <c r="T5" i="1"/>
  <c r="T4" i="1"/>
  <c r="S60" i="1"/>
  <c r="S59" i="1"/>
  <c r="S58" i="1"/>
  <c r="S57" i="1"/>
  <c r="S56" i="1"/>
  <c r="S55" i="1"/>
  <c r="S53" i="1"/>
  <c r="S51" i="1"/>
  <c r="S50" i="1"/>
  <c r="S49" i="1"/>
  <c r="S48" i="1"/>
  <c r="S47" i="1"/>
  <c r="S45" i="1"/>
  <c r="S44" i="1"/>
  <c r="S42" i="1"/>
  <c r="S39" i="1"/>
  <c r="S31" i="1"/>
  <c r="S37" i="1"/>
  <c r="S33" i="1"/>
  <c r="S36" i="1"/>
  <c r="S35" i="1"/>
  <c r="S32" i="1"/>
  <c r="S28" i="1"/>
  <c r="S27" i="1"/>
  <c r="S26" i="1"/>
  <c r="S25" i="1"/>
  <c r="S24" i="1"/>
  <c r="S23" i="1"/>
  <c r="S22" i="1"/>
  <c r="S20" i="1"/>
  <c r="S17" i="1"/>
  <c r="S16" i="1"/>
  <c r="S14" i="1"/>
  <c r="S13" i="1"/>
  <c r="S12" i="1"/>
  <c r="S10" i="1"/>
  <c r="S9" i="1"/>
  <c r="S8" i="1"/>
  <c r="S7" i="1"/>
  <c r="S6" i="1"/>
  <c r="S5" i="1"/>
  <c r="S4" i="1"/>
  <c r="H5" i="1"/>
  <c r="I5" i="1" l="1"/>
  <c r="J5" i="1" l="1"/>
  <c r="K5" i="1" l="1"/>
  <c r="L5" i="1"/>
  <c r="Y5" i="1" l="1"/>
  <c r="Z51" i="1" l="1"/>
  <c r="Y51" i="1"/>
  <c r="X51" i="1"/>
  <c r="L51" i="1"/>
  <c r="K51" i="1"/>
  <c r="J51" i="1"/>
  <c r="I51" i="1"/>
  <c r="H51" i="1"/>
  <c r="Z55" i="1" l="1"/>
  <c r="Y55" i="1"/>
  <c r="X55" i="1"/>
  <c r="L55" i="1" l="1"/>
  <c r="K55" i="1"/>
  <c r="J55" i="1"/>
  <c r="I55" i="1"/>
  <c r="H55" i="1"/>
  <c r="Z43" i="1" l="1"/>
  <c r="X43" i="1"/>
  <c r="L43" i="1"/>
  <c r="K43" i="1"/>
  <c r="J43" i="1"/>
  <c r="I43" i="1"/>
  <c r="H43" i="1"/>
  <c r="Y43" i="1" l="1"/>
  <c r="AE45" i="1" l="1"/>
  <c r="Z26" i="1" l="1"/>
  <c r="X26" i="1"/>
  <c r="AE36" i="1" l="1"/>
  <c r="AD36" i="1"/>
  <c r="Z14" i="1" l="1"/>
  <c r="Y14" i="1"/>
  <c r="X14" i="1"/>
  <c r="L28" i="1" l="1"/>
  <c r="K28" i="1"/>
  <c r="J28" i="1"/>
  <c r="I28" i="1"/>
  <c r="H28" i="1"/>
  <c r="G43" i="1" l="1"/>
  <c r="R43" i="1" s="1"/>
  <c r="AE43" i="1" l="1"/>
  <c r="AD43" i="1"/>
  <c r="F43" i="1"/>
  <c r="E43" i="1"/>
  <c r="D43" i="1"/>
  <c r="Z58" i="1" l="1"/>
  <c r="X58" i="1"/>
  <c r="Z20" i="1"/>
  <c r="X20" i="1"/>
  <c r="H20" i="1"/>
  <c r="AE20" i="1"/>
  <c r="AD20" i="1"/>
  <c r="G20" i="1"/>
  <c r="F20" i="1"/>
  <c r="E20" i="1"/>
  <c r="D20" i="1"/>
  <c r="M20" i="1" l="1"/>
  <c r="Z22" i="1" l="1"/>
  <c r="Y22" i="1"/>
  <c r="X22" i="1"/>
  <c r="L22" i="1" l="1"/>
  <c r="K22" i="1"/>
  <c r="J22" i="1"/>
  <c r="I22" i="1"/>
  <c r="H22" i="1"/>
  <c r="Z36" i="1" l="1"/>
  <c r="X36" i="1"/>
  <c r="H36" i="1"/>
  <c r="F36" i="1"/>
  <c r="D36" i="1"/>
  <c r="G36" i="1"/>
  <c r="E36" i="1" l="1"/>
  <c r="AE60" i="1" l="1"/>
  <c r="AD60" i="1"/>
  <c r="Z60" i="1"/>
  <c r="Y60" i="1"/>
  <c r="X60" i="1"/>
  <c r="L60" i="1"/>
  <c r="K60" i="1"/>
  <c r="J60" i="1"/>
  <c r="I60" i="1"/>
  <c r="H60" i="1"/>
  <c r="G60" i="1"/>
  <c r="F60" i="1"/>
  <c r="E60" i="1"/>
  <c r="D60" i="1"/>
  <c r="R60" i="1" l="1"/>
  <c r="Q60" i="1"/>
  <c r="P60" i="1"/>
  <c r="O60" i="1"/>
  <c r="AD59" i="1"/>
  <c r="AE59" i="1"/>
  <c r="Z59" i="1"/>
  <c r="Y59" i="1"/>
  <c r="X59" i="1"/>
  <c r="G59" i="1"/>
  <c r="F59" i="1"/>
  <c r="E59" i="1"/>
  <c r="D59" i="1"/>
  <c r="R59" i="1" l="1"/>
  <c r="AE42" i="1" l="1"/>
  <c r="AD42" i="1"/>
  <c r="Z42" i="1"/>
  <c r="X42" i="1"/>
  <c r="H42" i="1"/>
  <c r="G42" i="1"/>
  <c r="R42" i="1" s="1"/>
  <c r="F42" i="1"/>
  <c r="E42" i="1"/>
  <c r="D42" i="1"/>
  <c r="AE22" i="1"/>
  <c r="AD22" i="1"/>
  <c r="G22" i="1"/>
  <c r="R22" i="1" s="1"/>
  <c r="F22" i="1"/>
  <c r="E22" i="1"/>
  <c r="D22" i="1"/>
  <c r="M42" i="1" l="1"/>
  <c r="M22" i="1"/>
  <c r="N22" i="1"/>
  <c r="O22" i="1"/>
  <c r="P22" i="1"/>
  <c r="Q22" i="1"/>
  <c r="I36" i="1" l="1"/>
  <c r="N36" i="1" s="1"/>
  <c r="L26" i="1"/>
  <c r="K26" i="1"/>
  <c r="J26" i="1"/>
  <c r="I26" i="1"/>
  <c r="H26" i="1"/>
  <c r="J36" i="1" l="1"/>
  <c r="O36" i="1" s="1"/>
  <c r="X50" i="1"/>
  <c r="L36" i="1" l="1"/>
  <c r="Q36" i="1" s="1"/>
  <c r="K36" i="1"/>
  <c r="P36" i="1" s="1"/>
  <c r="Z49" i="1" l="1"/>
  <c r="Y49" i="1"/>
  <c r="X49" i="1"/>
  <c r="L49" i="1"/>
  <c r="K49" i="1"/>
  <c r="J49" i="1"/>
  <c r="I49" i="1"/>
  <c r="H49" i="1"/>
  <c r="L37" i="1" l="1"/>
  <c r="K37" i="1"/>
  <c r="J37" i="1"/>
  <c r="I37" i="1"/>
  <c r="H37" i="1"/>
  <c r="AE51" i="1" l="1"/>
  <c r="AD51" i="1"/>
  <c r="G51" i="1"/>
  <c r="R51" i="1" s="1"/>
  <c r="F51" i="1"/>
  <c r="E51" i="1"/>
  <c r="D51" i="1"/>
  <c r="AE55" i="1"/>
  <c r="AD55" i="1"/>
  <c r="G55" i="1"/>
  <c r="F55" i="1"/>
  <c r="E55" i="1"/>
  <c r="D55" i="1"/>
  <c r="Q55" i="1" l="1"/>
  <c r="N55" i="1"/>
  <c r="O55" i="1"/>
  <c r="M55" i="1"/>
  <c r="P55" i="1"/>
  <c r="R36" i="1" l="1"/>
  <c r="Y36" i="1" l="1"/>
  <c r="Z48" i="1" l="1"/>
  <c r="Y48" i="1"/>
  <c r="X48" i="1"/>
  <c r="L48" i="1"/>
  <c r="K48" i="1"/>
  <c r="J48" i="1"/>
  <c r="I48" i="1"/>
  <c r="H48" i="1"/>
  <c r="H25" i="1" l="1"/>
  <c r="Z16" i="1" l="1"/>
  <c r="X16" i="1"/>
  <c r="L53" i="1"/>
  <c r="K53" i="1"/>
  <c r="J53" i="1"/>
  <c r="I53" i="1"/>
  <c r="H53" i="1"/>
  <c r="AE48" i="1" l="1"/>
  <c r="AD48" i="1"/>
  <c r="AE16" i="1" l="1"/>
  <c r="AD16" i="1"/>
  <c r="D16" i="1"/>
  <c r="G48" i="1"/>
  <c r="R48" i="1" s="1"/>
  <c r="F48" i="1"/>
  <c r="E48" i="1"/>
  <c r="D48" i="1"/>
  <c r="M48" i="1" l="1"/>
  <c r="P48" i="1"/>
  <c r="O48" i="1"/>
  <c r="N48" i="1"/>
  <c r="Q48" i="1"/>
  <c r="AD45" i="1"/>
  <c r="Z45" i="1"/>
  <c r="Y45" i="1"/>
  <c r="X45" i="1"/>
  <c r="L45" i="1"/>
  <c r="K45" i="1"/>
  <c r="J45" i="1"/>
  <c r="I45" i="1"/>
  <c r="H45" i="1"/>
  <c r="G45" i="1"/>
  <c r="R45" i="1" s="1"/>
  <c r="F45" i="1"/>
  <c r="E45" i="1"/>
  <c r="D45" i="1"/>
  <c r="L17" i="1"/>
  <c r="K17" i="1"/>
  <c r="J17" i="1"/>
  <c r="I17" i="1"/>
  <c r="O45" i="1" l="1"/>
  <c r="N45" i="1"/>
  <c r="M45" i="1"/>
  <c r="P45" i="1"/>
  <c r="Q45" i="1"/>
  <c r="AE58" i="1" l="1"/>
  <c r="AD58" i="1"/>
  <c r="L58" i="1"/>
  <c r="K58" i="1"/>
  <c r="J58" i="1"/>
  <c r="I58" i="1"/>
  <c r="H58" i="1"/>
  <c r="G58" i="1"/>
  <c r="F58" i="1"/>
  <c r="E58" i="1"/>
  <c r="D58" i="1"/>
  <c r="AE35" i="1"/>
  <c r="AD35" i="1"/>
  <c r="Z35" i="1"/>
  <c r="Y35" i="1"/>
  <c r="X35" i="1"/>
  <c r="L35" i="1"/>
  <c r="K35" i="1"/>
  <c r="J35" i="1"/>
  <c r="I35" i="1"/>
  <c r="H35" i="1"/>
  <c r="G35" i="1"/>
  <c r="R35" i="1" s="1"/>
  <c r="F35" i="1"/>
  <c r="E35" i="1"/>
  <c r="D35" i="1"/>
  <c r="R58" i="1" l="1"/>
  <c r="Q58" i="1"/>
  <c r="P58" i="1"/>
  <c r="O58" i="1"/>
  <c r="N58" i="1"/>
  <c r="M58" i="1"/>
  <c r="P35" i="1"/>
  <c r="Q35" i="1"/>
  <c r="M35" i="1"/>
  <c r="N35" i="1"/>
  <c r="O35" i="1"/>
  <c r="L33" i="1" l="1"/>
  <c r="K33" i="1"/>
  <c r="J33" i="1"/>
  <c r="I33" i="1"/>
  <c r="H33" i="1"/>
  <c r="AE23" i="1" l="1"/>
  <c r="AD23" i="1"/>
  <c r="Z23" i="1"/>
  <c r="X23" i="1"/>
  <c r="L23" i="1"/>
  <c r="K23" i="1"/>
  <c r="J23" i="1"/>
  <c r="H23" i="1"/>
  <c r="E23" i="1"/>
  <c r="F23" i="1"/>
  <c r="D23" i="1"/>
  <c r="G23" i="1" l="1"/>
  <c r="AE31" i="1"/>
  <c r="AD31" i="1"/>
  <c r="Z31" i="1"/>
  <c r="Y31" i="1"/>
  <c r="X31" i="1"/>
  <c r="L31" i="1"/>
  <c r="K31" i="1"/>
  <c r="J31" i="1"/>
  <c r="I31" i="1"/>
  <c r="H31" i="1"/>
  <c r="F31" i="1"/>
  <c r="E31" i="1"/>
  <c r="D31" i="1"/>
  <c r="R23" i="1" l="1"/>
  <c r="P23" i="1"/>
  <c r="Q23" i="1"/>
  <c r="M23" i="1"/>
  <c r="O23" i="1"/>
  <c r="G31" i="1"/>
  <c r="L44" i="1"/>
  <c r="J44" i="1"/>
  <c r="I44" i="1"/>
  <c r="H44" i="1"/>
  <c r="AE44" i="1"/>
  <c r="AD44" i="1"/>
  <c r="Z44" i="1"/>
  <c r="X44" i="1"/>
  <c r="K44" i="1"/>
  <c r="G44" i="1"/>
  <c r="R44" i="1" s="1"/>
  <c r="F44" i="1"/>
  <c r="E44" i="1"/>
  <c r="D44" i="1"/>
  <c r="O31" i="1" l="1"/>
  <c r="N31" i="1"/>
  <c r="P31" i="1"/>
  <c r="Q31" i="1"/>
  <c r="Q44" i="1"/>
  <c r="M44" i="1"/>
  <c r="N44" i="1"/>
  <c r="O44" i="1"/>
  <c r="P44" i="1"/>
  <c r="AE13" i="1"/>
  <c r="AD13" i="1"/>
  <c r="Z13" i="1" l="1"/>
  <c r="X13" i="1"/>
  <c r="L13" i="1"/>
  <c r="K13" i="1"/>
  <c r="J13" i="1"/>
  <c r="G13" i="1"/>
  <c r="R13" i="1" s="1"/>
  <c r="F13" i="1"/>
  <c r="E13" i="1"/>
  <c r="D13" i="1"/>
  <c r="Y12" i="1" l="1"/>
  <c r="Q13" i="1"/>
  <c r="O13" i="1"/>
  <c r="P13" i="1"/>
  <c r="AE12" i="1"/>
  <c r="AD12" i="1"/>
  <c r="Z12" i="1"/>
  <c r="X12" i="1"/>
  <c r="L12" i="1"/>
  <c r="K12" i="1"/>
  <c r="J12" i="1"/>
  <c r="I12" i="1"/>
  <c r="H12" i="1"/>
  <c r="G12" i="1"/>
  <c r="R12" i="1" s="1"/>
  <c r="F12" i="1"/>
  <c r="E12" i="1"/>
  <c r="D12" i="1"/>
  <c r="AE27" i="1"/>
  <c r="AD27" i="1"/>
  <c r="N12" i="1" l="1"/>
  <c r="Q12" i="1"/>
  <c r="O12" i="1"/>
  <c r="P12" i="1"/>
  <c r="M12" i="1"/>
  <c r="Z27" i="1"/>
  <c r="X27" i="1"/>
  <c r="L27" i="1"/>
  <c r="K27" i="1"/>
  <c r="J27" i="1"/>
  <c r="I27" i="1"/>
  <c r="H27" i="1"/>
  <c r="G27" i="1"/>
  <c r="R27" i="1" s="1"/>
  <c r="F27" i="1"/>
  <c r="E27" i="1"/>
  <c r="D27" i="1"/>
  <c r="Z57" i="1"/>
  <c r="Y57" i="1"/>
  <c r="X57" i="1"/>
  <c r="O27" i="1" l="1"/>
  <c r="Q27" i="1"/>
  <c r="P27" i="1"/>
  <c r="M27" i="1"/>
  <c r="N27" i="1"/>
  <c r="H57" i="1" l="1"/>
  <c r="I57" i="1" l="1"/>
  <c r="J57" i="1" l="1"/>
  <c r="K57" i="1" l="1"/>
  <c r="L57" i="1" l="1"/>
  <c r="AE46" i="1" l="1"/>
  <c r="AD46" i="1"/>
  <c r="Z46" i="1"/>
  <c r="X46" i="1"/>
  <c r="D46" i="1"/>
  <c r="L56" i="1" l="1"/>
  <c r="K56" i="1"/>
  <c r="J56" i="1"/>
  <c r="I56" i="1"/>
  <c r="H56" i="1"/>
  <c r="I47" i="1" l="1"/>
  <c r="L47" i="1"/>
  <c r="K47" i="1"/>
  <c r="J47" i="1"/>
  <c r="H47" i="1"/>
  <c r="L39" i="1" l="1"/>
  <c r="K39" i="1"/>
  <c r="J39" i="1"/>
  <c r="I39" i="1"/>
  <c r="H39" i="1"/>
  <c r="L24" i="1" l="1"/>
  <c r="K24" i="1"/>
  <c r="J24" i="1"/>
  <c r="I24" i="1"/>
  <c r="H24" i="1"/>
  <c r="K14" i="1" l="1"/>
  <c r="J14" i="1"/>
  <c r="I14" i="1"/>
  <c r="H14" i="1"/>
  <c r="L14" i="1"/>
  <c r="H10" i="1" l="1"/>
  <c r="I10" i="1"/>
  <c r="J10" i="1"/>
  <c r="K10" i="1"/>
  <c r="L10" i="1"/>
  <c r="H9" i="1" l="1"/>
  <c r="I9" i="1"/>
  <c r="J9" i="1"/>
  <c r="K9" i="1"/>
  <c r="L9" i="1"/>
  <c r="H8" i="1" l="1"/>
  <c r="I8" i="1"/>
  <c r="J8" i="1"/>
  <c r="K8" i="1"/>
  <c r="L8" i="1"/>
  <c r="H7" i="1" l="1"/>
  <c r="I7" i="1"/>
  <c r="J7" i="1"/>
  <c r="K7" i="1"/>
  <c r="L7" i="1"/>
  <c r="H6" i="1" l="1"/>
  <c r="I6" i="1"/>
  <c r="J6" i="1"/>
  <c r="K6" i="1"/>
  <c r="L6" i="1"/>
  <c r="H4" i="1" l="1"/>
  <c r="I4" i="1"/>
  <c r="J4" i="1"/>
  <c r="K4" i="1"/>
  <c r="L4" i="1"/>
  <c r="AE24" i="1" l="1"/>
  <c r="AD24" i="1"/>
  <c r="Z24" i="1"/>
  <c r="Y24" i="1"/>
  <c r="X24" i="1"/>
  <c r="F24" i="1"/>
  <c r="D24" i="1"/>
  <c r="X4" i="1" l="1"/>
  <c r="AE5" i="1" l="1"/>
  <c r="AD5" i="1"/>
  <c r="F5" i="1"/>
  <c r="E5" i="1"/>
  <c r="D5" i="1"/>
  <c r="AE57" i="1"/>
  <c r="AD57" i="1"/>
  <c r="G57" i="1"/>
  <c r="R57" i="1" s="1"/>
  <c r="F57" i="1"/>
  <c r="E57" i="1"/>
  <c r="D57" i="1"/>
  <c r="N57" i="1" l="1"/>
  <c r="O57" i="1"/>
  <c r="P57" i="1"/>
  <c r="Q57" i="1"/>
  <c r="G5" i="1"/>
  <c r="R5" i="1" s="1"/>
  <c r="Z4" i="1"/>
  <c r="AE47" i="1"/>
  <c r="AD47" i="1"/>
  <c r="G47" i="1"/>
  <c r="F47" i="1"/>
  <c r="E47" i="1"/>
  <c r="D47" i="1"/>
  <c r="O47" i="1" l="1"/>
  <c r="Q47" i="1"/>
  <c r="N47" i="1"/>
  <c r="P47" i="1"/>
  <c r="M47" i="1"/>
  <c r="Q5" i="1"/>
  <c r="O5" i="1"/>
  <c r="M5" i="1"/>
  <c r="P5" i="1"/>
  <c r="N5" i="1"/>
  <c r="AE37" i="1"/>
  <c r="AD37" i="1"/>
  <c r="Z37" i="1"/>
  <c r="X37" i="1"/>
  <c r="G37" i="1"/>
  <c r="R37" i="1" s="1"/>
  <c r="F37" i="1"/>
  <c r="E37" i="1"/>
  <c r="D37" i="1"/>
  <c r="O37" i="1" l="1"/>
  <c r="Q37" i="1"/>
  <c r="P37" i="1"/>
  <c r="N37" i="1"/>
  <c r="M37" i="1"/>
  <c r="Z18" i="1" l="1"/>
  <c r="AE56" i="1" l="1"/>
  <c r="AD56" i="1"/>
  <c r="Z56" i="1"/>
  <c r="Y56" i="1"/>
  <c r="X56" i="1"/>
  <c r="G56" i="1"/>
  <c r="F56" i="1"/>
  <c r="E56" i="1"/>
  <c r="R56" i="1" s="1"/>
  <c r="D56" i="1"/>
  <c r="AE8" i="1"/>
  <c r="AD8" i="1"/>
  <c r="Z8" i="1"/>
  <c r="X8" i="1"/>
  <c r="F8" i="1"/>
  <c r="E8" i="1"/>
  <c r="P56" i="1" l="1"/>
  <c r="O56" i="1"/>
  <c r="N56" i="1"/>
  <c r="M56" i="1"/>
  <c r="Q56" i="1"/>
  <c r="G8" i="1"/>
  <c r="R8" i="1" l="1"/>
  <c r="D8" i="1"/>
  <c r="AE25" i="1"/>
  <c r="AD25" i="1"/>
  <c r="Z25" i="1"/>
  <c r="X25" i="1"/>
  <c r="G25" i="1"/>
  <c r="F25" i="1"/>
  <c r="E25" i="1"/>
  <c r="D25" i="1"/>
  <c r="M25" i="1" l="1"/>
  <c r="AE50" i="1" l="1"/>
  <c r="AD50" i="1"/>
  <c r="G50" i="1"/>
  <c r="F50" i="1"/>
  <c r="E50" i="1"/>
  <c r="D50" i="1"/>
  <c r="R50" i="1" l="1"/>
  <c r="N50" i="1"/>
  <c r="Q50" i="1"/>
  <c r="P50" i="1"/>
  <c r="O50" i="1"/>
  <c r="AE33" i="1"/>
  <c r="AD33" i="1"/>
  <c r="Z33" i="1" l="1"/>
  <c r="X33" i="1"/>
  <c r="G33" i="1" l="1"/>
  <c r="R33" i="1" s="1"/>
  <c r="F33" i="1"/>
  <c r="E33" i="1"/>
  <c r="D33" i="1"/>
  <c r="Q33" i="1" l="1"/>
  <c r="P33" i="1"/>
  <c r="O33" i="1"/>
  <c r="N33" i="1"/>
  <c r="M33" i="1"/>
  <c r="AE26" i="1"/>
  <c r="AD26" i="1"/>
  <c r="G26" i="1"/>
  <c r="R26" i="1" s="1"/>
  <c r="F26" i="1"/>
  <c r="E26" i="1"/>
  <c r="D26" i="1"/>
  <c r="Z53" i="1"/>
  <c r="X53" i="1"/>
  <c r="Z28" i="1" l="1"/>
  <c r="X28" i="1"/>
  <c r="Z17" i="1" l="1"/>
  <c r="X17" i="1"/>
  <c r="Z39" i="1" l="1"/>
  <c r="X39" i="1"/>
  <c r="Y37" i="1" l="1"/>
  <c r="AE54" i="1"/>
  <c r="AD54" i="1"/>
  <c r="Z54" i="1"/>
  <c r="X54" i="1"/>
  <c r="G54" i="1"/>
  <c r="F54" i="1"/>
  <c r="E54" i="1"/>
  <c r="D54" i="1"/>
  <c r="AE14" i="1" l="1"/>
  <c r="AE10" i="1" l="1"/>
  <c r="AE28" i="1" l="1"/>
  <c r="AD28" i="1"/>
  <c r="G28" i="1" l="1"/>
  <c r="F28" i="1"/>
  <c r="E28" i="1"/>
  <c r="D28" i="1"/>
  <c r="R28" i="1" l="1"/>
  <c r="Q28" i="1"/>
  <c r="P28" i="1"/>
  <c r="Z10" i="1" l="1"/>
  <c r="Y10" i="1"/>
  <c r="X10" i="1"/>
  <c r="AE41" i="1" l="1"/>
  <c r="AE53" i="1"/>
  <c r="AE49" i="1"/>
  <c r="AE30" i="1"/>
  <c r="AE39" i="1"/>
  <c r="AE17" i="1"/>
  <c r="AE32" i="1"/>
  <c r="AE18" i="1"/>
  <c r="AE15" i="1"/>
  <c r="AE19" i="1" l="1"/>
  <c r="AE11" i="1"/>
  <c r="AE9" i="1"/>
  <c r="AE7" i="1"/>
  <c r="AE6" i="1" l="1"/>
  <c r="AE4" i="1" l="1"/>
  <c r="AD49" i="1" l="1"/>
  <c r="AD39" i="1" l="1"/>
  <c r="AD41" i="1" l="1"/>
  <c r="AD53" i="1"/>
  <c r="AD30" i="1"/>
  <c r="AD32" i="1" l="1"/>
  <c r="AD14" i="1" l="1"/>
  <c r="AD18" i="1" l="1"/>
  <c r="AD15" i="1" l="1"/>
  <c r="AD19" i="1" l="1"/>
  <c r="AD10" i="1" l="1"/>
  <c r="AD11" i="1" l="1"/>
  <c r="AD9" i="1" l="1"/>
  <c r="AD7" i="1" l="1"/>
  <c r="AD17" i="1" l="1"/>
  <c r="G17" i="1"/>
  <c r="R17" i="1" s="1"/>
  <c r="F17" i="1"/>
  <c r="E17" i="1"/>
  <c r="D17" i="1"/>
  <c r="O17" i="1" l="1"/>
  <c r="N17" i="1"/>
  <c r="Q17" i="1"/>
  <c r="P17" i="1"/>
  <c r="AD6" i="1"/>
  <c r="AD4" i="1"/>
  <c r="G49" i="1" l="1"/>
  <c r="R49" i="1" s="1"/>
  <c r="F49" i="1"/>
  <c r="E49" i="1"/>
  <c r="D49" i="1"/>
  <c r="G39" i="1" l="1"/>
  <c r="R39" i="1" s="1"/>
  <c r="F39" i="1"/>
  <c r="E39" i="1"/>
  <c r="D39" i="1"/>
  <c r="Q39" i="1" l="1"/>
  <c r="O39" i="1"/>
  <c r="P39" i="1"/>
  <c r="X32" i="1"/>
  <c r="D32" i="1"/>
  <c r="E10" i="1" l="1"/>
  <c r="D10" i="1"/>
  <c r="Z30" i="1" l="1"/>
  <c r="X30" i="1"/>
  <c r="G30" i="1"/>
  <c r="F30" i="1"/>
  <c r="E30" i="1"/>
  <c r="D30" i="1"/>
  <c r="M30" i="1" l="1"/>
  <c r="R30" i="1"/>
  <c r="N30" i="1"/>
  <c r="Q30" i="1"/>
  <c r="O30" i="1"/>
  <c r="P30" i="1"/>
  <c r="G14" i="1"/>
  <c r="R14" i="1" s="1"/>
  <c r="F14" i="1"/>
  <c r="E14" i="1"/>
  <c r="D14" i="1"/>
  <c r="M14" i="1" l="1"/>
  <c r="N14" i="1" l="1"/>
  <c r="O14" i="1" l="1"/>
  <c r="G53" i="1" l="1"/>
  <c r="F53" i="1"/>
  <c r="E53" i="1"/>
  <c r="D53" i="1"/>
  <c r="N53" i="1" l="1"/>
  <c r="Q53" i="1"/>
  <c r="P53" i="1"/>
  <c r="O53" i="1"/>
  <c r="G41" i="1"/>
  <c r="F41" i="1"/>
  <c r="E41" i="1"/>
  <c r="D41" i="1"/>
  <c r="P41" i="1" l="1"/>
  <c r="O41" i="1"/>
  <c r="M41" i="1"/>
  <c r="N41" i="1"/>
  <c r="Z15" i="1"/>
  <c r="X15" i="1"/>
  <c r="F15" i="1"/>
  <c r="E15" i="1"/>
  <c r="D15" i="1"/>
  <c r="G15" i="1"/>
  <c r="P15" i="1" l="1"/>
  <c r="O15" i="1"/>
  <c r="M15" i="1"/>
  <c r="N15" i="1"/>
  <c r="R15" i="1"/>
  <c r="Q15" i="1"/>
  <c r="Y19" i="1"/>
  <c r="Z19" i="1"/>
  <c r="X19" i="1"/>
  <c r="G19" i="1"/>
  <c r="F19" i="1"/>
  <c r="E19" i="1"/>
  <c r="D19" i="1"/>
  <c r="O19" i="1" l="1"/>
  <c r="M19" i="1"/>
  <c r="N19" i="1"/>
  <c r="R19" i="1"/>
  <c r="Q19" i="1"/>
  <c r="P19" i="1"/>
  <c r="Y18" i="1"/>
  <c r="X18" i="1"/>
  <c r="Y11" i="1"/>
  <c r="Z11" i="1"/>
  <c r="Z9" i="1" l="1"/>
  <c r="Z7" i="1" l="1"/>
  <c r="Z6" i="1" l="1"/>
  <c r="Z3" i="1" s="1"/>
  <c r="F18" i="1" l="1"/>
  <c r="E18" i="1"/>
  <c r="D18" i="1"/>
  <c r="G18" i="1" l="1"/>
  <c r="F11" i="1" l="1"/>
  <c r="E11" i="1"/>
  <c r="D11" i="1"/>
  <c r="G11" i="1" l="1"/>
  <c r="X6" i="1"/>
  <c r="X7" i="1" l="1"/>
  <c r="F7" i="1"/>
  <c r="E7" i="1"/>
  <c r="D7" i="1"/>
  <c r="G7" i="1" l="1"/>
  <c r="X9" i="1"/>
  <c r="F9" i="1"/>
  <c r="E9" i="1"/>
  <c r="D9" i="1"/>
  <c r="M7" i="1" l="1"/>
  <c r="R7" i="1"/>
  <c r="N7" i="1"/>
  <c r="Q7" i="1"/>
  <c r="P7" i="1"/>
  <c r="G9" i="1"/>
  <c r="R9" i="1" l="1"/>
  <c r="M9" i="1"/>
  <c r="N9" i="1"/>
  <c r="F6" i="1" l="1"/>
  <c r="E6" i="1" l="1"/>
  <c r="G6" i="1" s="1"/>
  <c r="D6" i="1"/>
  <c r="N6" i="1" l="1"/>
  <c r="R6" i="1"/>
  <c r="M6" i="1"/>
  <c r="Q6" i="1"/>
  <c r="P6" i="1"/>
  <c r="O6" i="1"/>
  <c r="X3" i="1"/>
  <c r="F4" i="1"/>
  <c r="D4" i="1"/>
  <c r="F10" i="1" l="1"/>
  <c r="G10" i="1"/>
  <c r="R10" i="1" s="1"/>
  <c r="Q10" i="1" l="1"/>
  <c r="O10" i="1"/>
  <c r="M10" i="1"/>
  <c r="N10" i="1"/>
  <c r="P10" i="1"/>
  <c r="Y54" i="1" l="1"/>
  <c r="P14" i="1" l="1"/>
  <c r="Y8" i="1" l="1"/>
  <c r="Q8" i="1"/>
  <c r="P8" i="1"/>
  <c r="O8" i="1"/>
  <c r="N8" i="1"/>
  <c r="M8" i="1"/>
  <c r="Y30" i="1" l="1"/>
  <c r="Y4" i="1"/>
  <c r="E4" i="1" l="1"/>
  <c r="G4" i="1" s="1"/>
  <c r="R4" i="1" s="1"/>
  <c r="O4" i="1" l="1"/>
  <c r="P4" i="1"/>
  <c r="N4" i="1"/>
  <c r="Q4" i="1"/>
  <c r="M4" i="1"/>
  <c r="O7" i="1" l="1"/>
  <c r="O9" i="1" l="1"/>
  <c r="P9" i="1" l="1"/>
  <c r="Q9" i="1" l="1"/>
  <c r="Y9" i="1" l="1"/>
  <c r="Y6" i="1" l="1"/>
  <c r="Y7" i="1" l="1"/>
  <c r="Q14" i="1" l="1"/>
  <c r="Y39" i="1" l="1"/>
  <c r="Y27" i="1" l="1"/>
  <c r="Y33" i="1" l="1"/>
  <c r="Y53" i="1" l="1"/>
  <c r="Y44" i="1" l="1"/>
  <c r="M51" i="1" l="1"/>
  <c r="H17" i="1" l="1"/>
  <c r="M17" i="1" s="1"/>
  <c r="Y17" i="1"/>
  <c r="L42" i="1" l="1"/>
  <c r="Q42" i="1" s="1"/>
  <c r="J42" i="1" l="1"/>
  <c r="O42" i="1" s="1"/>
  <c r="K42" i="1" l="1"/>
  <c r="P42" i="1" s="1"/>
  <c r="I42" i="1" l="1"/>
  <c r="N42" i="1" s="1"/>
  <c r="Y42" i="1"/>
  <c r="I59" i="1" l="1"/>
  <c r="H59" i="1" l="1"/>
  <c r="J59" i="1"/>
  <c r="O59" i="1" s="1"/>
  <c r="K59" i="1" l="1"/>
  <c r="P59" i="1" s="1"/>
  <c r="L59" i="1" l="1"/>
  <c r="Q59" i="1" s="1"/>
  <c r="H13" i="1" l="1"/>
  <c r="M13" i="1" s="1"/>
  <c r="I20" i="1" l="1"/>
  <c r="N20" i="1" s="1"/>
  <c r="J20" i="1" l="1"/>
  <c r="O20" i="1" s="1"/>
  <c r="K20" i="1" l="1"/>
  <c r="P20" i="1" s="1"/>
  <c r="L20" i="1" l="1"/>
  <c r="Q20" i="1" s="1"/>
  <c r="R20" i="1" l="1"/>
  <c r="Y20" i="1" l="1"/>
  <c r="Y58" i="1" l="1"/>
  <c r="Y28" i="1" l="1"/>
  <c r="F32" i="1" l="1"/>
  <c r="E32" i="1"/>
  <c r="G32" i="1" l="1"/>
  <c r="H32" i="1" l="1"/>
  <c r="I32" i="1" l="1"/>
  <c r="J32" i="1" l="1"/>
  <c r="K32" i="1" l="1"/>
  <c r="P32" i="1" s="1"/>
  <c r="L32" i="1" l="1"/>
  <c r="Q32" i="1" s="1"/>
  <c r="R32" i="1" l="1"/>
  <c r="F16" i="1" l="1"/>
  <c r="G16" i="1" l="1"/>
  <c r="E16" i="1"/>
  <c r="V3" i="1" l="1"/>
  <c r="W3" i="1" l="1"/>
  <c r="I16" i="1" l="1"/>
  <c r="N16" i="1" s="1"/>
  <c r="J16" i="1" l="1"/>
  <c r="O16" i="1" s="1"/>
  <c r="K16" i="1" l="1"/>
  <c r="P16" i="1" s="1"/>
  <c r="L16" i="1"/>
  <c r="Q16" i="1" s="1"/>
  <c r="R16" i="1" l="1"/>
  <c r="H16" i="1" l="1"/>
  <c r="M16" i="1" s="1"/>
  <c r="Y16" i="1" l="1"/>
  <c r="I13" i="1" l="1"/>
  <c r="N13" i="1" s="1"/>
  <c r="Y13" i="1"/>
  <c r="Y23" i="1" l="1"/>
  <c r="I23" i="1"/>
  <c r="N23" i="1" s="1"/>
  <c r="F46" i="1" l="1"/>
  <c r="T46" i="1" l="1"/>
  <c r="T3" i="1" s="1"/>
  <c r="U46" i="1" l="1"/>
  <c r="U3" i="1" s="1"/>
  <c r="S46" i="1"/>
  <c r="E46" i="1"/>
  <c r="G46" i="1" l="1"/>
  <c r="I46" i="1" l="1"/>
  <c r="N46" i="1" s="1"/>
  <c r="J46" i="1" l="1"/>
  <c r="O46" i="1" s="1"/>
  <c r="K46" i="1" l="1"/>
  <c r="P46" i="1" s="1"/>
  <c r="L46" i="1" l="1"/>
  <c r="Q46" i="1" s="1"/>
  <c r="R46" i="1" l="1"/>
  <c r="H46" i="1" l="1"/>
  <c r="M46" i="1" s="1"/>
  <c r="Y46" i="1"/>
  <c r="I25" i="1" l="1"/>
  <c r="N25" i="1" s="1"/>
  <c r="J25" i="1" l="1"/>
  <c r="O25" i="1" s="1"/>
  <c r="K25" i="1" l="1"/>
  <c r="P25" i="1" s="1"/>
  <c r="L25" i="1" l="1"/>
  <c r="Q25" i="1" s="1"/>
  <c r="R25" i="1" l="1"/>
  <c r="Y25" i="1"/>
  <c r="Y15" i="1" l="1"/>
  <c r="Y3" i="1" s="1"/>
  <c r="R41" i="1" l="1"/>
  <c r="Q41" i="1" l="1"/>
  <c r="E24" i="1" l="1"/>
  <c r="G24" i="1" l="1"/>
  <c r="R24" i="1" l="1"/>
  <c r="R3" i="1" s="1"/>
  <c r="N24" i="1"/>
  <c r="N3" i="1" s="1"/>
  <c r="P24" i="1"/>
  <c r="P3" i="1" s="1"/>
  <c r="M24" i="1"/>
  <c r="M3" i="1" s="1"/>
  <c r="O24" i="1"/>
  <c r="O3" i="1" s="1"/>
  <c r="Q24" i="1"/>
  <c r="Q3" i="1" s="1"/>
</calcChain>
</file>

<file path=xl/sharedStrings.xml><?xml version="1.0" encoding="utf-8"?>
<sst xmlns="http://schemas.openxmlformats.org/spreadsheetml/2006/main" count="245" uniqueCount="199">
  <si>
    <t>Company</t>
  </si>
  <si>
    <t>Ticker</t>
  </si>
  <si>
    <t>Price</t>
  </si>
  <si>
    <t>MC</t>
  </si>
  <si>
    <t>Net Cash</t>
  </si>
  <si>
    <t>EV</t>
  </si>
  <si>
    <t>2024 E</t>
  </si>
  <si>
    <t>2024 EV/E</t>
  </si>
  <si>
    <t>2025 EV/E</t>
  </si>
  <si>
    <t>Discount</t>
  </si>
  <si>
    <t>Segment</t>
  </si>
  <si>
    <t>Industry Average</t>
  </si>
  <si>
    <t>Apple</t>
  </si>
  <si>
    <t>AAPL US</t>
  </si>
  <si>
    <t>Microsoft</t>
  </si>
  <si>
    <t>Alphabet</t>
  </si>
  <si>
    <t>Facebook</t>
  </si>
  <si>
    <t>Tencent</t>
  </si>
  <si>
    <t>Taiwan Semiconductor</t>
  </si>
  <si>
    <t>NVIDIA</t>
  </si>
  <si>
    <t>Samsung</t>
  </si>
  <si>
    <t>Adobe</t>
  </si>
  <si>
    <t>Intel</t>
  </si>
  <si>
    <t>ASML</t>
  </si>
  <si>
    <t>Broadcom</t>
  </si>
  <si>
    <t>Qualcomm</t>
  </si>
  <si>
    <t>MSFT US</t>
  </si>
  <si>
    <t>GOOG US</t>
  </si>
  <si>
    <t>0700 HK</t>
  </si>
  <si>
    <t>TSM US</t>
  </si>
  <si>
    <t>NVDA US</t>
  </si>
  <si>
    <t>005930 KS</t>
  </si>
  <si>
    <t>ADBE US</t>
  </si>
  <si>
    <t>CRM US</t>
  </si>
  <si>
    <t>INTC US</t>
  </si>
  <si>
    <t>ASML NV</t>
  </si>
  <si>
    <t>AVGO US</t>
  </si>
  <si>
    <t>QCOM US</t>
  </si>
  <si>
    <t>Shopify</t>
  </si>
  <si>
    <t>Zoom Video</t>
  </si>
  <si>
    <t>ZM US</t>
  </si>
  <si>
    <t>IBM</t>
  </si>
  <si>
    <t>IBM US</t>
  </si>
  <si>
    <t>AMD</t>
  </si>
  <si>
    <t>AMD US</t>
  </si>
  <si>
    <t>Xiaomi</t>
  </si>
  <si>
    <t>Uber</t>
  </si>
  <si>
    <t>Snowflake</t>
  </si>
  <si>
    <t>SNOW US</t>
  </si>
  <si>
    <t>UBER US</t>
  </si>
  <si>
    <t>1810 HK</t>
  </si>
  <si>
    <t>Founded</t>
  </si>
  <si>
    <t>Consumer Electronics</t>
  </si>
  <si>
    <t>Software</t>
  </si>
  <si>
    <t>Internet</t>
  </si>
  <si>
    <t>Semiconductors</t>
  </si>
  <si>
    <t>2025 E</t>
  </si>
  <si>
    <t>Consensus</t>
  </si>
  <si>
    <t>Variance</t>
  </si>
  <si>
    <t>EPAM</t>
  </si>
  <si>
    <t>EPAM US</t>
  </si>
  <si>
    <t>GameStop</t>
  </si>
  <si>
    <t>GME US</t>
  </si>
  <si>
    <t>Inseego</t>
  </si>
  <si>
    <t>INSG US</t>
  </si>
  <si>
    <t>Hardware/Software</t>
  </si>
  <si>
    <t>Netflix</t>
  </si>
  <si>
    <t>Snap Inc</t>
  </si>
  <si>
    <t>NFLX US</t>
  </si>
  <si>
    <t>SNAP US</t>
  </si>
  <si>
    <t>Sonos</t>
  </si>
  <si>
    <t>Roku</t>
  </si>
  <si>
    <t>ROKU US</t>
  </si>
  <si>
    <t>SONO US</t>
  </si>
  <si>
    <t>Tesla</t>
  </si>
  <si>
    <t>TSLA US</t>
  </si>
  <si>
    <t>EVs</t>
  </si>
  <si>
    <t>Streaming</t>
  </si>
  <si>
    <t>Updated</t>
  </si>
  <si>
    <t>Palantir</t>
  </si>
  <si>
    <t>PLTR US</t>
  </si>
  <si>
    <t>Earnings Call</t>
  </si>
  <si>
    <t>Roblox</t>
  </si>
  <si>
    <t>RBLX US</t>
  </si>
  <si>
    <t>Hardware</t>
  </si>
  <si>
    <t>Electronic Arts</t>
  </si>
  <si>
    <t>EA US</t>
  </si>
  <si>
    <t>Atari</t>
  </si>
  <si>
    <t>ATAR FR</t>
  </si>
  <si>
    <t>Gaming</t>
  </si>
  <si>
    <t>Corsair Gaming</t>
  </si>
  <si>
    <t>CRSR US</t>
  </si>
  <si>
    <t>Coinbase</t>
  </si>
  <si>
    <t>COIN US</t>
  </si>
  <si>
    <t>Finance</t>
  </si>
  <si>
    <t>Amazon</t>
  </si>
  <si>
    <t>AMZN US</t>
  </si>
  <si>
    <t>Multi-segment</t>
  </si>
  <si>
    <t>HPQ US</t>
  </si>
  <si>
    <t>Hewlett-Packard</t>
  </si>
  <si>
    <t>HPE US</t>
  </si>
  <si>
    <t>HP Enterprise</t>
  </si>
  <si>
    <t>Paysafe</t>
  </si>
  <si>
    <t>PSFE US</t>
  </si>
  <si>
    <t>Logitech</t>
  </si>
  <si>
    <t>LOGI US</t>
  </si>
  <si>
    <t>Skillz</t>
  </si>
  <si>
    <t>SKLZ US</t>
  </si>
  <si>
    <t>META US</t>
  </si>
  <si>
    <t>Roadzen</t>
  </si>
  <si>
    <t>RDZN US</t>
  </si>
  <si>
    <t>EVs/Insurance</t>
  </si>
  <si>
    <t>Disney</t>
  </si>
  <si>
    <t>DIS US</t>
  </si>
  <si>
    <t>Visa</t>
  </si>
  <si>
    <t>Mastercard</t>
  </si>
  <si>
    <t>V US</t>
  </si>
  <si>
    <t>MA US</t>
  </si>
  <si>
    <t>Wise</t>
  </si>
  <si>
    <t>WISE UK</t>
  </si>
  <si>
    <t>Paypal</t>
  </si>
  <si>
    <t>PYPL US</t>
  </si>
  <si>
    <t>Reddit</t>
  </si>
  <si>
    <t>2026 E</t>
  </si>
  <si>
    <t>2027 E</t>
  </si>
  <si>
    <t>2028 E</t>
  </si>
  <si>
    <t>2023 RevG</t>
  </si>
  <si>
    <t>2026 EV/E</t>
  </si>
  <si>
    <t>2027 EV/E</t>
  </si>
  <si>
    <t>2028 EV/E</t>
  </si>
  <si>
    <t>StoneCo</t>
  </si>
  <si>
    <t>STNE US</t>
  </si>
  <si>
    <t>Global Payments</t>
  </si>
  <si>
    <t>GPN US</t>
  </si>
  <si>
    <t>RDDT US</t>
  </si>
  <si>
    <t>Spotify</t>
  </si>
  <si>
    <t>SPOT US</t>
  </si>
  <si>
    <t>SoFi</t>
  </si>
  <si>
    <t>SOFI US</t>
  </si>
  <si>
    <t>Pinterest</t>
  </si>
  <si>
    <t>PINS US</t>
  </si>
  <si>
    <t>FuelCell</t>
  </si>
  <si>
    <t>FCEL US</t>
  </si>
  <si>
    <t>Energy</t>
  </si>
  <si>
    <t>Freshworks</t>
  </si>
  <si>
    <t>FRSH US</t>
  </si>
  <si>
    <t>eBay</t>
  </si>
  <si>
    <t>American Express</t>
  </si>
  <si>
    <t>AXP US</t>
  </si>
  <si>
    <t>Opera</t>
  </si>
  <si>
    <t>OPRA US</t>
  </si>
  <si>
    <t>PagSeguro</t>
  </si>
  <si>
    <t>PAGS US</t>
  </si>
  <si>
    <t>Chegg</t>
  </si>
  <si>
    <t>CHGG US</t>
  </si>
  <si>
    <t>PlugPower</t>
  </si>
  <si>
    <t>PLUG US</t>
  </si>
  <si>
    <t>Koss</t>
  </si>
  <si>
    <t>KOSS US</t>
  </si>
  <si>
    <t>EBAY US</t>
  </si>
  <si>
    <t>Duolingo</t>
  </si>
  <si>
    <t>DUOL US</t>
  </si>
  <si>
    <t>Xerox</t>
  </si>
  <si>
    <t>XRX US</t>
  </si>
  <si>
    <t>ARQQ US</t>
  </si>
  <si>
    <t>Arqit Quantum</t>
  </si>
  <si>
    <t>2035 EV/E</t>
  </si>
  <si>
    <t>Novami</t>
  </si>
  <si>
    <t>NVMI US</t>
  </si>
  <si>
    <t>MicroAlgo</t>
  </si>
  <si>
    <t>MLGO US</t>
  </si>
  <si>
    <t>Symbotic</t>
  </si>
  <si>
    <t>SYM US</t>
  </si>
  <si>
    <t>Robotics</t>
  </si>
  <si>
    <t>SHOP US</t>
  </si>
  <si>
    <t>IonQ</t>
  </si>
  <si>
    <t>IONQ US</t>
  </si>
  <si>
    <t>Quantum</t>
  </si>
  <si>
    <t>2024 Rev</t>
  </si>
  <si>
    <t>2024 RevG</t>
  </si>
  <si>
    <t>2024 GM%</t>
  </si>
  <si>
    <t>2024 OM%</t>
  </si>
  <si>
    <t>Alibaba</t>
  </si>
  <si>
    <t>BABA US</t>
  </si>
  <si>
    <t>Overvalued</t>
  </si>
  <si>
    <t>Salesforce</t>
  </si>
  <si>
    <t>Dell</t>
  </si>
  <si>
    <t>DELL US</t>
  </si>
  <si>
    <t>Gambling.com</t>
  </si>
  <si>
    <t>GAMB US</t>
  </si>
  <si>
    <t>Undervalued</t>
  </si>
  <si>
    <t>Shift4</t>
  </si>
  <si>
    <t>FOUR US</t>
  </si>
  <si>
    <t>Block</t>
  </si>
  <si>
    <t>XYZ US</t>
  </si>
  <si>
    <t>Fiserv</t>
  </si>
  <si>
    <t>FI US</t>
  </si>
  <si>
    <t>Stride</t>
  </si>
  <si>
    <t>LRN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</si>
</sst>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\x"/>
    <numFmt numFmtId="165" formatCode="[$$-409]#,##0"/>
    <numFmt numFmtId="166" formatCode="[$$-409]#,##0.00"/>
    <numFmt numFmtId="167" formatCode="[$HKD]\ #,##0.00"/>
    <numFmt numFmtId="168" formatCode="[$₩-412]#,##0.00"/>
    <numFmt numFmtId="169" formatCode="&quot;£&quot;#,##0.00"/>
    <numFmt numFmtId="170" formatCode="#,##0.00\ [$€-1]"/>
    <numFmt numFmtId="171" formatCode="#,##0\ [$€-1]"/>
    <numFmt numFmtId="172" formatCode="&quot;£&quot;#,##0"/>
    <numFmt numFmtId="173" formatCode="[$£-809]#,##0"/>
    <numFmt numFmtId="174" formatCode="[$$-4809]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164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2" fillId="0" borderId="0" xfId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4" fontId="1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9" fontId="3" fillId="0" borderId="0" xfId="0" applyNumberFormat="1" applyFont="1" applyAlignment="1">
      <alignment horizontal="center"/>
    </xf>
    <xf numFmtId="174" fontId="0" fillId="0" borderId="0" xfId="0" applyNumberFormat="1" applyAlignment="1">
      <alignment horizontal="center"/>
    </xf>
    <xf numFmtId="0" fontId="2" fillId="2" borderId="0" xfId="1" applyFill="1"/>
    <xf numFmtId="165" fontId="3" fillId="0" borderId="0" xfId="0" applyNumberFormat="1" applyFont="1" applyAlignment="1">
      <alignment horizontal="center"/>
    </xf>
    <xf numFmtId="0" fontId="2" fillId="0" borderId="0" xfId="1" applyFill="1"/>
    <xf numFmtId="0" fontId="2" fillId="3" borderId="0" xfId="1" applyFill="1"/>
    <xf numFmtId="0" fontId="2" fillId="4" borderId="0" xfId="1" applyFill="1"/>
    <xf numFmtId="0" fontId="2" fillId="5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61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AAPL.xlsx" TargetMode="External"/><Relationship Id="rId1" Type="http://schemas.openxmlformats.org/officeDocument/2006/relationships/externalLinkPath" Target="AAPL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MA.xlsx" TargetMode="External"/><Relationship Id="rId1" Type="http://schemas.openxmlformats.org/officeDocument/2006/relationships/externalLinkPath" Target="MA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NFLX.xlsx" TargetMode="External"/><Relationship Id="rId1" Type="http://schemas.openxmlformats.org/officeDocument/2006/relationships/externalLinkPath" Target="NFLX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CRM.xlsx" TargetMode="External"/><Relationship Id="rId1" Type="http://schemas.openxmlformats.org/officeDocument/2006/relationships/externalLinkPath" Target="CRM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AXP.xlsx" TargetMode="External"/><Relationship Id="rId1" Type="http://schemas.openxmlformats.org/officeDocument/2006/relationships/externalLinkPath" Target="AXP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PLTR.xlsx" TargetMode="External"/><Relationship Id="rId1" Type="http://schemas.openxmlformats.org/officeDocument/2006/relationships/externalLinkPath" Target="PLTR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005930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ADBE.xlsx" TargetMode="External"/><Relationship Id="rId1" Type="http://schemas.openxmlformats.org/officeDocument/2006/relationships/externalLinkPath" Target="ADBE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AMD.xlsx" TargetMode="External"/><Relationship Id="rId1" Type="http://schemas.openxmlformats.org/officeDocument/2006/relationships/externalLinkPath" Target="AMD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FI.xlsx" TargetMode="External"/><Relationship Id="rId1" Type="http://schemas.openxmlformats.org/officeDocument/2006/relationships/externalLinkPath" Target="FI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INTC.xlsx" TargetMode="External"/><Relationship Id="rId1" Type="http://schemas.openxmlformats.org/officeDocument/2006/relationships/externalLinkPath" Target="INTC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NVDA.xlsx" TargetMode="External"/><Relationship Id="rId1" Type="http://schemas.openxmlformats.org/officeDocument/2006/relationships/externalLinkPath" Target="NVDA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SPOT.xlsx" TargetMode="External"/><Relationship Id="rId1" Type="http://schemas.openxmlformats.org/officeDocument/2006/relationships/externalLinkPath" Target="SPOT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PYPL.xlsx" TargetMode="External"/><Relationship Id="rId1" Type="http://schemas.openxmlformats.org/officeDocument/2006/relationships/externalLinkPath" Target="PYPL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COIN.xlsx" TargetMode="External"/><Relationship Id="rId1" Type="http://schemas.openxmlformats.org/officeDocument/2006/relationships/externalLinkPath" Target="COIN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SNOW.xlsx" TargetMode="External"/><Relationship Id="rId1" Type="http://schemas.openxmlformats.org/officeDocument/2006/relationships/externalLinkPath" Target="SNOW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GPN.xlsx" TargetMode="External"/><Relationship Id="rId1" Type="http://schemas.openxmlformats.org/officeDocument/2006/relationships/externalLinkPath" Target="GPN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RBLX.xlsx" TargetMode="External"/><Relationship Id="rId1" Type="http://schemas.openxmlformats.org/officeDocument/2006/relationships/externalLinkPath" Target="RBLX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XYZ.xlsx" TargetMode="External"/><Relationship Id="rId1" Type="http://schemas.openxmlformats.org/officeDocument/2006/relationships/externalLinkPath" Target="XYZ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EPAM.xlsx" TargetMode="External"/><Relationship Id="rId1" Type="http://schemas.openxmlformats.org/officeDocument/2006/relationships/externalLinkPath" Target="EPAM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RDDT.xlsx" TargetMode="External"/><Relationship Id="rId1" Type="http://schemas.openxmlformats.org/officeDocument/2006/relationships/externalLinkPath" Target="RDDT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SNAP.xlsx" TargetMode="External"/><Relationship Id="rId1" Type="http://schemas.openxmlformats.org/officeDocument/2006/relationships/externalLinkPath" Target="SNAP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MSFT.xlsx" TargetMode="External"/><Relationship Id="rId1" Type="http://schemas.openxmlformats.org/officeDocument/2006/relationships/externalLinkPath" Target="MSFT.xlsx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ZM.xlsx" TargetMode="External"/><Relationship Id="rId1" Type="http://schemas.openxmlformats.org/officeDocument/2006/relationships/externalLinkPath" Target="ZM.xlsx" TargetMode="External"/></Relationships>
</file>

<file path=xl/externalLinks/_rels/externalLink3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DUOL.xlsx" TargetMode="External"/><Relationship Id="rId1" Type="http://schemas.openxmlformats.org/officeDocument/2006/relationships/externalLinkPath" Target="DUOL.xlsx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SOFI.xlsx" TargetMode="External"/><Relationship Id="rId1" Type="http://schemas.openxmlformats.org/officeDocument/2006/relationships/externalLinkPath" Target="SOFI.xlsx" TargetMode="External"/></Relationships>
</file>

<file path=xl/externalLinks/_rels/externalLink3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SYM.xlsx" TargetMode="External"/><Relationship Id="rId1" Type="http://schemas.openxmlformats.org/officeDocument/2006/relationships/externalLinkPath" Target="SYM.xlsx" TargetMode="External"/></Relationships>
</file>

<file path=xl/externalLinks/_rels/externalLink3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LOGI.xlsx" TargetMode="External"/><Relationship Id="rId1" Type="http://schemas.openxmlformats.org/officeDocument/2006/relationships/externalLinkPath" Target="LOGI.xlsx" TargetMode="External"/></Relationships>
</file>

<file path=xl/externalLinks/_rels/externalLink3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FOUR.xlsx" TargetMode="External"/><Relationship Id="rId1" Type="http://schemas.openxmlformats.org/officeDocument/2006/relationships/externalLinkPath" Target="FOUR.xlsx" TargetMode="External"/></Relationships>
</file>

<file path=xl/externalLinks/_rels/externalLink3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ROKU.xlsx" TargetMode="External"/><Relationship Id="rId1" Type="http://schemas.openxmlformats.org/officeDocument/2006/relationships/externalLinkPath" Target="ROKU.xlsx" TargetMode="External"/></Relationships>
</file>

<file path=xl/externalLinks/_rels/externalLink3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LRN.xlsx" TargetMode="External"/><Relationship Id="rId1" Type="http://schemas.openxmlformats.org/officeDocument/2006/relationships/externalLinkPath" Target="LRN.xlsx" TargetMode="External"/></Relationships>
</file>

<file path=xl/externalLinks/_rels/externalLink3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GME.xlsx" TargetMode="External"/><Relationship Id="rId1" Type="http://schemas.openxmlformats.org/officeDocument/2006/relationships/externalLinkPath" Target="GME.xlsx" TargetMode="External"/></Relationships>
</file>

<file path=xl/externalLinks/_rels/externalLink3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NVMI.xlsx" TargetMode="External"/><Relationship Id="rId1" Type="http://schemas.openxmlformats.org/officeDocument/2006/relationships/externalLinkPath" Target="NVMI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GOOG.xlsx" TargetMode="External"/><Relationship Id="rId1" Type="http://schemas.openxmlformats.org/officeDocument/2006/relationships/externalLinkPath" Target="GOOG.xlsx" TargetMode="External"/></Relationships>
</file>

<file path=xl/externalLinks/_rels/externalLink4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IONQ.xlsx" TargetMode="External"/><Relationship Id="rId1" Type="http://schemas.openxmlformats.org/officeDocument/2006/relationships/externalLinkPath" Target="IONQ.xlsx" TargetMode="External"/></Relationships>
</file>

<file path=xl/externalLinks/_rels/externalLink4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WISE.xlsx" TargetMode="External"/><Relationship Id="rId1" Type="http://schemas.openxmlformats.org/officeDocument/2006/relationships/externalLinkPath" Target="WISE.xlsx" TargetMode="External"/></Relationships>
</file>

<file path=xl/externalLinks/_rels/externalLink4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PAGS.xlsx" TargetMode="External"/><Relationship Id="rId1" Type="http://schemas.openxmlformats.org/officeDocument/2006/relationships/externalLinkPath" Target="PAGS.xlsx" TargetMode="External"/></Relationships>
</file>

<file path=xl/externalLinks/_rels/externalLink4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STNE.xlsx" TargetMode="External"/><Relationship Id="rId1" Type="http://schemas.openxmlformats.org/officeDocument/2006/relationships/externalLinkPath" Target="STNE.xlsx" TargetMode="External"/></Relationships>
</file>

<file path=xl/externalLinks/_rels/externalLink4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PSFE.xlsx" TargetMode="External"/><Relationship Id="rId1" Type="http://schemas.openxmlformats.org/officeDocument/2006/relationships/externalLinkPath" Target="PSFE.xlsx" TargetMode="External"/></Relationships>
</file>

<file path=xl/externalLinks/_rels/externalLink4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OPRA.xlsx" TargetMode="External"/><Relationship Id="rId1" Type="http://schemas.openxmlformats.org/officeDocument/2006/relationships/externalLinkPath" Target="OPRA.xlsx" TargetMode="External"/></Relationships>
</file>

<file path=xl/externalLinks/_rels/externalLink4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SONO.xlsx" TargetMode="External"/><Relationship Id="rId1" Type="http://schemas.openxmlformats.org/officeDocument/2006/relationships/externalLinkPath" Target="SONO.xlsx" TargetMode="External"/></Relationships>
</file>

<file path=xl/externalLinks/_rels/externalLink4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CRSR.xlsx" TargetMode="External"/><Relationship Id="rId1" Type="http://schemas.openxmlformats.org/officeDocument/2006/relationships/externalLinkPath" Target="CRSR.xlsx" TargetMode="External"/></Relationships>
</file>

<file path=xl/externalLinks/_rels/externalLink4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PLUG.xlsx" TargetMode="External"/><Relationship Id="rId1" Type="http://schemas.openxmlformats.org/officeDocument/2006/relationships/externalLinkPath" Target="PLUG.xlsx" TargetMode="External"/></Relationships>
</file>

<file path=xl/externalLinks/_rels/externalLink4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GAMB.xlsx" TargetMode="External"/><Relationship Id="rId1" Type="http://schemas.openxmlformats.org/officeDocument/2006/relationships/externalLinkPath" Target="GAMB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AMZN.xlsx" TargetMode="External"/><Relationship Id="rId1" Type="http://schemas.openxmlformats.org/officeDocument/2006/relationships/externalLinkPath" Target="AMZN.xlsx" TargetMode="External"/></Relationships>
</file>

<file path=xl/externalLinks/_rels/externalLink5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INSG.xlsx" TargetMode="External"/><Relationship Id="rId1" Type="http://schemas.openxmlformats.org/officeDocument/2006/relationships/externalLinkPath" Target="INSG.xlsx" TargetMode="External"/></Relationships>
</file>

<file path=xl/externalLinks/_rels/externalLink5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ATAR.xlsx" TargetMode="External"/><Relationship Id="rId1" Type="http://schemas.openxmlformats.org/officeDocument/2006/relationships/externalLinkPath" Target="ATAR.xlsx" TargetMode="External"/></Relationships>
</file>

<file path=xl/externalLinks/_rels/externalLink5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CHGG.xlsx" TargetMode="External"/><Relationship Id="rId1" Type="http://schemas.openxmlformats.org/officeDocument/2006/relationships/externalLinkPath" Target="CHGG.xlsx" TargetMode="External"/></Relationships>
</file>

<file path=xl/externalLinks/_rels/externalLink5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SKLZ.xlsx" TargetMode="External"/><Relationship Id="rId1" Type="http://schemas.openxmlformats.org/officeDocument/2006/relationships/externalLinkPath" Target="SKLZ.xlsx" TargetMode="External"/></Relationships>
</file>

<file path=xl/externalLinks/_rels/externalLink5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RDZN.xlsx" TargetMode="External"/><Relationship Id="rId1" Type="http://schemas.openxmlformats.org/officeDocument/2006/relationships/externalLinkPath" Target="RDZN.xlsx" TargetMode="External"/></Relationships>
</file>

<file path=xl/externalLinks/_rels/externalLink5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FCEL.xlsx" TargetMode="External"/><Relationship Id="rId1" Type="http://schemas.openxmlformats.org/officeDocument/2006/relationships/externalLinkPath" Target="FCEL.xlsx" TargetMode="External"/></Relationships>
</file>

<file path=xl/externalLinks/_rels/externalLink5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KOSS.xlsx" TargetMode="External"/><Relationship Id="rId1" Type="http://schemas.openxmlformats.org/officeDocument/2006/relationships/externalLinkPath" Target="KOSS.xlsx" TargetMode="External"/></Relationships>
</file>

<file path=xl/externalLinks/_rels/externalLink5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MLGO.xlsx" TargetMode="External"/><Relationship Id="rId1" Type="http://schemas.openxmlformats.org/officeDocument/2006/relationships/externalLinkPath" Target="MLGO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FB.xlsx" TargetMode="External"/><Relationship Id="rId1" Type="http://schemas.openxmlformats.org/officeDocument/2006/relationships/externalLinkPath" Target="FB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TSLA.xlsx" TargetMode="External"/><Relationship Id="rId1" Type="http://schemas.openxmlformats.org/officeDocument/2006/relationships/externalLinkPath" Target="TSLA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0700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V.xlsx" TargetMode="External"/><Relationship Id="rId1" Type="http://schemas.openxmlformats.org/officeDocument/2006/relationships/externalLinkPath" Target="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183.75</v>
          </cell>
          <cell r="E3">
            <v>45755</v>
          </cell>
          <cell r="G3">
            <v>45771</v>
          </cell>
        </row>
        <row r="5">
          <cell r="D5">
            <v>2760310.875</v>
          </cell>
        </row>
        <row r="8">
          <cell r="D8">
            <v>44569</v>
          </cell>
        </row>
      </sheetData>
      <sheetData sheetId="1">
        <row r="5">
          <cell r="BC5">
            <v>391035</v>
          </cell>
        </row>
        <row r="17">
          <cell r="BC17">
            <v>93736</v>
          </cell>
          <cell r="BD17">
            <v>111865.525968</v>
          </cell>
          <cell r="BE17">
            <v>117035.70172405441</v>
          </cell>
          <cell r="BF17">
            <v>121596.57000020859</v>
          </cell>
          <cell r="BG17">
            <v>125976.67287998067</v>
          </cell>
          <cell r="BN17">
            <v>148670.6362795716</v>
          </cell>
        </row>
        <row r="30">
          <cell r="BB30">
            <v>-2.800460530319937E-2</v>
          </cell>
          <cell r="BC30">
            <v>2.021994077514111E-2</v>
          </cell>
          <cell r="BQ30">
            <v>0.05</v>
          </cell>
        </row>
        <row r="36">
          <cell r="BQ36">
            <v>-1.8371852205646189E-2</v>
          </cell>
        </row>
        <row r="37">
          <cell r="BQ37" t="str">
            <v>Fairly valued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525</v>
          </cell>
          <cell r="F3">
            <v>45751</v>
          </cell>
          <cell r="H3">
            <v>45771</v>
          </cell>
        </row>
        <row r="5">
          <cell r="D5">
            <v>478642.49999999994</v>
          </cell>
        </row>
        <row r="8">
          <cell r="D8">
            <v>-8962</v>
          </cell>
        </row>
        <row r="9">
          <cell r="D9">
            <v>487604.49999999994</v>
          </cell>
        </row>
      </sheetData>
      <sheetData sheetId="1">
        <row r="3">
          <cell r="Y3">
            <v>28167</v>
          </cell>
        </row>
        <row r="17">
          <cell r="Y17">
            <v>12874</v>
          </cell>
          <cell r="Z17">
            <v>14369.14817</v>
          </cell>
          <cell r="AA17">
            <v>16841.553170400006</v>
          </cell>
          <cell r="AB17">
            <v>18211.010242992004</v>
          </cell>
          <cell r="AC17">
            <v>19319.803928769124</v>
          </cell>
          <cell r="AJ17">
            <v>24524.228624948606</v>
          </cell>
        </row>
        <row r="21">
          <cell r="X21">
            <v>0.1286594414714215</v>
          </cell>
          <cell r="Y21">
            <v>0.12228065981353087</v>
          </cell>
        </row>
        <row r="24">
          <cell r="AM24">
            <v>0.06</v>
          </cell>
        </row>
        <row r="30">
          <cell r="AM30">
            <v>-0.30789247181110724</v>
          </cell>
        </row>
        <row r="31">
          <cell r="AM31" t="str">
            <v>Overvalued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996.3</v>
          </cell>
          <cell r="E3">
            <v>45769</v>
          </cell>
          <cell r="G3">
            <v>45854</v>
          </cell>
        </row>
        <row r="5">
          <cell r="D5">
            <v>424124.91</v>
          </cell>
        </row>
        <row r="8">
          <cell r="D8">
            <v>-6646</v>
          </cell>
        </row>
        <row r="9">
          <cell r="D9">
            <v>430770.91</v>
          </cell>
        </row>
      </sheetData>
      <sheetData sheetId="1">
        <row r="26">
          <cell r="BM26">
            <v>24992</v>
          </cell>
        </row>
        <row r="37">
          <cell r="BM37">
            <v>2757.7</v>
          </cell>
          <cell r="BN37">
            <v>5117.0999999999976</v>
          </cell>
          <cell r="BO37">
            <v>4491.7999999999975</v>
          </cell>
          <cell r="BP37">
            <v>5408</v>
          </cell>
          <cell r="BQ37">
            <v>8711.3999999999924</v>
          </cell>
          <cell r="BX37">
            <v>16265.158423182946</v>
          </cell>
        </row>
        <row r="47">
          <cell r="BL47">
            <v>0.27599656870505318</v>
          </cell>
          <cell r="BM47">
            <v>0.24005160265952163</v>
          </cell>
          <cell r="CE47">
            <v>0.06</v>
          </cell>
        </row>
        <row r="53">
          <cell r="CE53">
            <v>-0.45650787239829793</v>
          </cell>
        </row>
        <row r="54">
          <cell r="CE54" t="str">
            <v>Overvalued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253.63</v>
          </cell>
          <cell r="E3">
            <v>45751</v>
          </cell>
          <cell r="G3">
            <v>45805</v>
          </cell>
        </row>
        <row r="5">
          <cell r="D5">
            <v>243738.43</v>
          </cell>
        </row>
        <row r="8">
          <cell r="D8">
            <v>10451</v>
          </cell>
        </row>
        <row r="9">
          <cell r="D9">
            <v>233287.43</v>
          </cell>
        </row>
      </sheetData>
      <sheetData sheetId="1">
        <row r="5">
          <cell r="AY5">
            <v>37895</v>
          </cell>
        </row>
        <row r="20">
          <cell r="AY20">
            <v>6197</v>
          </cell>
          <cell r="AZ20">
            <v>6612.2560199999989</v>
          </cell>
          <cell r="BA20">
            <v>7590.9995710000012</v>
          </cell>
          <cell r="BB20">
            <v>8383.1774187200026</v>
          </cell>
          <cell r="BC20">
            <v>8692.9387365576058</v>
          </cell>
          <cell r="BJ20">
            <v>10649.062792680843</v>
          </cell>
        </row>
        <row r="26">
          <cell r="AX26">
            <v>0.11179510079101806</v>
          </cell>
          <cell r="AY26">
            <v>8.7156094902028247E-2</v>
          </cell>
        </row>
        <row r="29">
          <cell r="AY29">
            <v>0.77192241720543608</v>
          </cell>
        </row>
        <row r="30">
          <cell r="AY30">
            <v>0.19013062409288825</v>
          </cell>
        </row>
        <row r="31">
          <cell r="BM31">
            <v>0.06</v>
          </cell>
        </row>
        <row r="37">
          <cell r="BM37">
            <v>-0.42844692622181901</v>
          </cell>
        </row>
        <row r="38">
          <cell r="BM38" t="str">
            <v>Overvalued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245.15</v>
          </cell>
          <cell r="F3">
            <v>45769</v>
          </cell>
          <cell r="H3">
            <v>45856</v>
          </cell>
        </row>
        <row r="5">
          <cell r="D5">
            <v>171752.09</v>
          </cell>
        </row>
        <row r="8">
          <cell r="D8">
            <v>-287</v>
          </cell>
        </row>
        <row r="9">
          <cell r="D9">
            <v>172039.09</v>
          </cell>
        </row>
      </sheetData>
      <sheetData sheetId="1">
        <row r="16">
          <cell r="Y16">
            <v>74201</v>
          </cell>
        </row>
        <row r="27">
          <cell r="Y27">
            <v>10129</v>
          </cell>
          <cell r="Z27">
            <v>10764.624985</v>
          </cell>
          <cell r="AA27">
            <v>12189.591693600003</v>
          </cell>
          <cell r="AB27">
            <v>12580.657822296</v>
          </cell>
          <cell r="AC27">
            <v>12874.44235747176</v>
          </cell>
          <cell r="AJ27">
            <v>14109.549150464602</v>
          </cell>
        </row>
        <row r="38">
          <cell r="X38">
            <v>0.21103820224719105</v>
          </cell>
          <cell r="Y38">
            <v>0.10149337925301349</v>
          </cell>
        </row>
        <row r="40">
          <cell r="AN40">
            <v>0.06</v>
          </cell>
        </row>
        <row r="46">
          <cell r="AN46">
            <v>0.20252062275431082</v>
          </cell>
        </row>
        <row r="47">
          <cell r="AN47" t="str">
            <v>Slightly undervalued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83.6</v>
          </cell>
          <cell r="E3">
            <v>45751</v>
          </cell>
          <cell r="G3">
            <v>45789</v>
          </cell>
        </row>
        <row r="5">
          <cell r="D5">
            <v>196075.44</v>
          </cell>
        </row>
        <row r="8">
          <cell r="D8">
            <v>5230</v>
          </cell>
        </row>
        <row r="9">
          <cell r="D9">
            <v>190845.44</v>
          </cell>
        </row>
      </sheetData>
      <sheetData sheetId="1">
        <row r="3">
          <cell r="AL3">
            <v>2865.4</v>
          </cell>
        </row>
        <row r="18">
          <cell r="AL18">
            <v>464.10000000000019</v>
          </cell>
          <cell r="AM18">
            <v>835.43674499999997</v>
          </cell>
          <cell r="AN18">
            <v>1390.8552371999997</v>
          </cell>
          <cell r="AO18">
            <v>2078.6341469519998</v>
          </cell>
          <cell r="AP18">
            <v>2891.7309941960007</v>
          </cell>
          <cell r="AW18">
            <v>6378.8486158075857</v>
          </cell>
        </row>
        <row r="22">
          <cell r="AK22">
            <v>0.1674799307413819</v>
          </cell>
          <cell r="AL22">
            <v>0.28776234775965137</v>
          </cell>
        </row>
        <row r="26">
          <cell r="AZ26">
            <v>0.06</v>
          </cell>
        </row>
        <row r="32">
          <cell r="AZ32">
            <v>-0.58666400706025246</v>
          </cell>
        </row>
        <row r="33">
          <cell r="AZ33" t="str">
            <v>Heavily overvalued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  <sheetName val="Currency"/>
    </sheetNames>
    <sheetDataSet>
      <sheetData sheetId="0">
        <row r="3">
          <cell r="D3">
            <v>59500</v>
          </cell>
          <cell r="E3">
            <v>44120</v>
          </cell>
          <cell r="G3" t="str">
            <v>Jan-Feb?</v>
          </cell>
        </row>
        <row r="5">
          <cell r="D5">
            <v>309815.64997801074</v>
          </cell>
        </row>
        <row r="8">
          <cell r="D8">
            <v>84353.398832591876</v>
          </cell>
        </row>
      </sheetData>
      <sheetData sheetId="1">
        <row r="23">
          <cell r="AE23">
            <v>0.05</v>
          </cell>
        </row>
        <row r="29">
          <cell r="AE29">
            <v>-6.9181920876941971E-2</v>
          </cell>
        </row>
        <row r="30">
          <cell r="AE30" t="str">
            <v>Fairly valued</v>
          </cell>
        </row>
      </sheetData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364.59</v>
          </cell>
          <cell r="E3">
            <v>45751</v>
          </cell>
          <cell r="G3">
            <v>45820</v>
          </cell>
        </row>
        <row r="5">
          <cell r="D5">
            <v>158961.24</v>
          </cell>
        </row>
        <row r="8">
          <cell r="D8">
            <v>1280</v>
          </cell>
        </row>
        <row r="9">
          <cell r="D9">
            <v>157681.24</v>
          </cell>
        </row>
      </sheetData>
      <sheetData sheetId="1">
        <row r="6">
          <cell r="AP6">
            <v>21505</v>
          </cell>
        </row>
        <row r="24">
          <cell r="AP24">
            <v>5560</v>
          </cell>
          <cell r="AQ24">
            <v>7419.9800790000027</v>
          </cell>
          <cell r="AR24">
            <v>8584.2012092000041</v>
          </cell>
          <cell r="AS24">
            <v>9255.2317002056043</v>
          </cell>
          <cell r="AT24">
            <v>9817.3728258876235</v>
          </cell>
          <cell r="BA24">
            <v>12164.654012375497</v>
          </cell>
        </row>
        <row r="31">
          <cell r="AO31">
            <v>0.10240826990798602</v>
          </cell>
          <cell r="AP31">
            <v>0.10799113813179462</v>
          </cell>
        </row>
        <row r="32">
          <cell r="AP32">
            <v>0.89035108114392003</v>
          </cell>
        </row>
        <row r="33">
          <cell r="AP33">
            <v>0.31346198558474775</v>
          </cell>
          <cell r="BD33">
            <v>0.06</v>
          </cell>
        </row>
        <row r="39">
          <cell r="BD39">
            <v>-3.1856995145475464E-2</v>
          </cell>
        </row>
        <row r="40">
          <cell r="BD40" t="str">
            <v>Fairly valued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93.62</v>
          </cell>
          <cell r="E3">
            <v>45751</v>
          </cell>
          <cell r="G3">
            <v>45783</v>
          </cell>
        </row>
        <row r="5">
          <cell r="D5">
            <v>151711.21000000002</v>
          </cell>
        </row>
        <row r="8">
          <cell r="D8">
            <v>3560</v>
          </cell>
        </row>
        <row r="9">
          <cell r="D9">
            <v>148151.21000000002</v>
          </cell>
        </row>
      </sheetData>
      <sheetData sheetId="1">
        <row r="3">
          <cell r="AD3">
            <v>25785</v>
          </cell>
        </row>
        <row r="20">
          <cell r="AD20">
            <v>1641</v>
          </cell>
          <cell r="AE20">
            <v>3425.0734349999993</v>
          </cell>
          <cell r="AF20">
            <v>5828.2418888800003</v>
          </cell>
          <cell r="AG20">
            <v>7817.6468093015974</v>
          </cell>
          <cell r="AH20">
            <v>9788.6832334527826</v>
          </cell>
          <cell r="AO20">
            <v>17357.894936745055</v>
          </cell>
        </row>
        <row r="24">
          <cell r="AC24">
            <v>-3.9023770179229644E-2</v>
          </cell>
          <cell r="AD24">
            <v>0.13690476190476186</v>
          </cell>
        </row>
        <row r="26">
          <cell r="AR26">
            <v>7.0000000000000007E-2</v>
          </cell>
        </row>
        <row r="32">
          <cell r="AR32">
            <v>0.22207640094619396</v>
          </cell>
        </row>
        <row r="33">
          <cell r="AR33" t="str">
            <v>Slightly undervalued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176.85</v>
          </cell>
          <cell r="E3">
            <v>45772</v>
          </cell>
          <cell r="G3">
            <v>45867</v>
          </cell>
        </row>
        <row r="5">
          <cell r="D5">
            <v>98045.64</v>
          </cell>
        </row>
        <row r="8">
          <cell r="D8">
            <v>-27120</v>
          </cell>
        </row>
        <row r="9">
          <cell r="D9">
            <v>125165.64</v>
          </cell>
        </row>
      </sheetData>
      <sheetData sheetId="1">
        <row r="5">
          <cell r="Y5">
            <v>20456</v>
          </cell>
        </row>
        <row r="20">
          <cell r="Y20">
            <v>3131</v>
          </cell>
          <cell r="Z20">
            <v>4134.5485600000011</v>
          </cell>
          <cell r="AA20">
            <v>4434.1943512000025</v>
          </cell>
          <cell r="AB20">
            <v>4673.9038504240007</v>
          </cell>
          <cell r="AC20">
            <v>4878.0582544244799</v>
          </cell>
          <cell r="AJ20">
            <v>5410.536198602269</v>
          </cell>
        </row>
        <row r="26">
          <cell r="X26">
            <v>7.6450358008682384E-2</v>
          </cell>
          <cell r="Y26">
            <v>7.1387419473105229E-2</v>
          </cell>
          <cell r="AM26">
            <v>7.0000000000000007E-2</v>
          </cell>
        </row>
        <row r="29">
          <cell r="Y29">
            <v>0.60828118889323424</v>
          </cell>
        </row>
        <row r="31">
          <cell r="Y31">
            <v>0.28739734063355493</v>
          </cell>
        </row>
        <row r="32">
          <cell r="AM32">
            <v>-0.57655076564752616</v>
          </cell>
        </row>
        <row r="33">
          <cell r="AM33" t="str">
            <v>Heavily overvalued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20.14</v>
          </cell>
          <cell r="E3">
            <v>45771</v>
          </cell>
          <cell r="G3">
            <v>45862</v>
          </cell>
        </row>
        <row r="5">
          <cell r="D5">
            <v>87468.02</v>
          </cell>
        </row>
        <row r="8">
          <cell r="D8">
            <v>-24076</v>
          </cell>
        </row>
        <row r="9">
          <cell r="D9">
            <v>111544.02</v>
          </cell>
        </row>
      </sheetData>
      <sheetData sheetId="1">
        <row r="11">
          <cell r="AE11">
            <v>53101</v>
          </cell>
        </row>
        <row r="24">
          <cell r="AE24">
            <v>-18756</v>
          </cell>
          <cell r="AF24">
            <v>-2055.2711750000058</v>
          </cell>
          <cell r="AG24">
            <v>727.91294399999822</v>
          </cell>
          <cell r="AH24">
            <v>2613.394682207997</v>
          </cell>
          <cell r="AI24">
            <v>3383.2235656655957</v>
          </cell>
          <cell r="AP24">
            <v>6928.7986179926265</v>
          </cell>
        </row>
        <row r="35">
          <cell r="AD35">
            <v>-0.13997525930155108</v>
          </cell>
          <cell r="AE35">
            <v>-2.0782621523935951E-2</v>
          </cell>
        </row>
        <row r="38">
          <cell r="AS38">
            <v>0.06</v>
          </cell>
        </row>
        <row r="44">
          <cell r="AS44">
            <v>-0.37659448511523141</v>
          </cell>
        </row>
        <row r="45">
          <cell r="AS45" t="str">
            <v>Overvalued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100.63</v>
          </cell>
          <cell r="E3">
            <v>45755</v>
          </cell>
          <cell r="G3">
            <v>45804</v>
          </cell>
        </row>
        <row r="5">
          <cell r="D5">
            <v>2464328.0699999998</v>
          </cell>
        </row>
        <row r="8">
          <cell r="D8">
            <v>34747</v>
          </cell>
        </row>
      </sheetData>
      <sheetData sheetId="1">
        <row r="3">
          <cell r="Y3">
            <v>198750.4</v>
          </cell>
        </row>
        <row r="14">
          <cell r="X14">
            <v>72880</v>
          </cell>
          <cell r="Y14">
            <v>104531.63087999998</v>
          </cell>
          <cell r="Z14">
            <v>138376.62797079998</v>
          </cell>
          <cell r="AA14">
            <v>154262.79080951604</v>
          </cell>
          <cell r="AB14">
            <v>166521.33564958585</v>
          </cell>
          <cell r="AE14">
            <v>187475.35501624318</v>
          </cell>
        </row>
        <row r="18">
          <cell r="W18">
            <v>1.2585452658115224</v>
          </cell>
          <cell r="X18">
            <v>1.1420340763599355</v>
          </cell>
        </row>
        <row r="19">
          <cell r="X19">
            <v>0.74989463359310937</v>
          </cell>
        </row>
        <row r="20">
          <cell r="AL20">
            <v>0.05</v>
          </cell>
        </row>
        <row r="22">
          <cell r="X22">
            <v>0.62418293140838488</v>
          </cell>
        </row>
        <row r="26">
          <cell r="AL26">
            <v>0.37440044199781752</v>
          </cell>
        </row>
        <row r="27">
          <cell r="AL27" t="str">
            <v>Undervalued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551.44000000000005</v>
          </cell>
          <cell r="F3">
            <v>45751</v>
          </cell>
          <cell r="H3">
            <v>45770</v>
          </cell>
        </row>
        <row r="5">
          <cell r="D5">
            <v>112383.47200000002</v>
          </cell>
        </row>
        <row r="9">
          <cell r="D9">
            <v>7912.7333752884415</v>
          </cell>
        </row>
      </sheetData>
      <sheetData sheetId="1">
        <row r="3">
          <cell r="AC3">
            <v>15673</v>
          </cell>
        </row>
        <row r="14">
          <cell r="AC14">
            <v>1138</v>
          </cell>
          <cell r="AD14">
            <v>1685.6336250000006</v>
          </cell>
          <cell r="AE14">
            <v>2698.4914175999993</v>
          </cell>
          <cell r="AF14">
            <v>3283.3523622400012</v>
          </cell>
          <cell r="AG14">
            <v>3895.3281177728009</v>
          </cell>
          <cell r="AN14">
            <v>7289.7932242782799</v>
          </cell>
        </row>
        <row r="18">
          <cell r="AB18">
            <v>0.12961541741280813</v>
          </cell>
          <cell r="AC18">
            <v>0.18313580433305665</v>
          </cell>
        </row>
        <row r="20">
          <cell r="AQ20">
            <v>7.0000000000000007E-2</v>
          </cell>
        </row>
        <row r="27">
          <cell r="AQ27">
            <v>-0.25016144459347034</v>
          </cell>
        </row>
        <row r="28">
          <cell r="AQ28" t="str">
            <v>Slightly overvalued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60.96</v>
          </cell>
          <cell r="E3">
            <v>45751</v>
          </cell>
          <cell r="G3">
            <v>45777</v>
          </cell>
        </row>
        <row r="5">
          <cell r="D5">
            <v>60301.632000000005</v>
          </cell>
        </row>
        <row r="8">
          <cell r="D8">
            <v>5527</v>
          </cell>
        </row>
        <row r="9">
          <cell r="D9">
            <v>54774.632000000005</v>
          </cell>
        </row>
      </sheetData>
      <sheetData sheetId="1">
        <row r="3">
          <cell r="AI3">
            <v>31797</v>
          </cell>
        </row>
        <row r="17">
          <cell r="AI17">
            <v>4147</v>
          </cell>
          <cell r="AJ17">
            <v>5202.2908079999997</v>
          </cell>
          <cell r="AK17">
            <v>5767.3797854400027</v>
          </cell>
          <cell r="AL17">
            <v>6306.4111987968017</v>
          </cell>
          <cell r="AM17">
            <v>6761.7767353918107</v>
          </cell>
          <cell r="AT17">
            <v>7492.5196882285127</v>
          </cell>
        </row>
        <row r="21">
          <cell r="AH21">
            <v>8.1873682680427384E-2</v>
          </cell>
          <cell r="AI21">
            <v>6.8052803063383793E-2</v>
          </cell>
        </row>
        <row r="23">
          <cell r="AX23">
            <v>0.08</v>
          </cell>
        </row>
        <row r="29">
          <cell r="AX29">
            <v>0.44345022948092061</v>
          </cell>
        </row>
        <row r="30">
          <cell r="AX30" t="str">
            <v>Undervalued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170.76</v>
          </cell>
          <cell r="E3">
            <v>45751</v>
          </cell>
          <cell r="G3">
            <v>45784</v>
          </cell>
        </row>
        <row r="5">
          <cell r="D5">
            <v>43355.963999999993</v>
          </cell>
        </row>
        <row r="8">
          <cell r="D8">
            <v>4309.7999999999993</v>
          </cell>
        </row>
        <row r="9">
          <cell r="D9">
            <v>39046.16399999999</v>
          </cell>
        </row>
      </sheetData>
      <sheetData sheetId="1">
        <row r="5">
          <cell r="AH5">
            <v>6564</v>
          </cell>
        </row>
        <row r="19">
          <cell r="AH19">
            <v>2578.7999999999997</v>
          </cell>
          <cell r="AI19">
            <v>1236.7858699999997</v>
          </cell>
          <cell r="AJ19">
            <v>2030.6664069599997</v>
          </cell>
          <cell r="AK19">
            <v>2587.6999560556801</v>
          </cell>
          <cell r="AL19">
            <v>2936.7207553924445</v>
          </cell>
          <cell r="AS19">
            <v>3789.7259638880496</v>
          </cell>
        </row>
        <row r="23">
          <cell r="AG23">
            <v>-2.6862026862026767E-2</v>
          </cell>
          <cell r="AH23">
            <v>1.111765273622237</v>
          </cell>
        </row>
        <row r="26">
          <cell r="AV26">
            <v>0.08</v>
          </cell>
        </row>
        <row r="32">
          <cell r="AV32">
            <v>-2.3447287090133662E-2</v>
          </cell>
        </row>
        <row r="33">
          <cell r="AV33" t="str">
            <v>Fairly valued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138.38999999999999</v>
          </cell>
          <cell r="E3">
            <v>45751</v>
          </cell>
          <cell r="G3">
            <v>45798</v>
          </cell>
        </row>
        <row r="5">
          <cell r="D5">
            <v>45862.445999999989</v>
          </cell>
        </row>
        <row r="8">
          <cell r="D8">
            <v>3024.7000000000007</v>
          </cell>
        </row>
        <row r="9">
          <cell r="D9">
            <v>42837.745999999985</v>
          </cell>
        </row>
      </sheetData>
      <sheetData sheetId="1">
        <row r="3">
          <cell r="AN3">
            <v>7381.8418175999986</v>
          </cell>
        </row>
        <row r="16">
          <cell r="AN16">
            <v>-240.01066769136114</v>
          </cell>
          <cell r="AO16">
            <v>198.13126283928906</v>
          </cell>
          <cell r="AP16">
            <v>506.19203596408926</v>
          </cell>
          <cell r="AQ16">
            <v>771.45115546614261</v>
          </cell>
          <cell r="AR16">
            <v>946.1797826811702</v>
          </cell>
          <cell r="AY16">
            <v>1331.4376511076018</v>
          </cell>
        </row>
        <row r="20">
          <cell r="AM20">
            <v>0.19999999999999996</v>
          </cell>
          <cell r="AN20">
            <v>0.1399999999999999</v>
          </cell>
        </row>
        <row r="23">
          <cell r="AX23">
            <v>0.08</v>
          </cell>
        </row>
        <row r="30">
          <cell r="AX30" t="str">
            <v>Heavily overvalued</v>
          </cell>
        </row>
        <row r="90">
          <cell r="AX90">
            <v>-0.5208349517611679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92.41</v>
          </cell>
          <cell r="F3">
            <v>45751</v>
          </cell>
          <cell r="H3">
            <v>45782</v>
          </cell>
        </row>
        <row r="5">
          <cell r="D5">
            <v>22880.716</v>
          </cell>
        </row>
        <row r="8">
          <cell r="D8">
            <v>-14205.4</v>
          </cell>
        </row>
        <row r="9">
          <cell r="D9">
            <v>37086.116000000002</v>
          </cell>
        </row>
      </sheetData>
      <sheetData sheetId="1">
        <row r="3">
          <cell r="Y3">
            <v>10106</v>
          </cell>
        </row>
        <row r="15">
          <cell r="Y15">
            <v>1570.3999999999994</v>
          </cell>
          <cell r="Z15">
            <v>1591.795564100001</v>
          </cell>
          <cell r="AA15">
            <v>1847.0743551644998</v>
          </cell>
          <cell r="AB15">
            <v>1992.9255918762433</v>
          </cell>
          <cell r="AC15">
            <v>2050.8211370533554</v>
          </cell>
          <cell r="AJ15">
            <v>2328.3213452553787</v>
          </cell>
        </row>
        <row r="19">
          <cell r="X19">
            <v>7.562725611658272E-2</v>
          </cell>
          <cell r="Y19">
            <v>4.6776599270798913E-2</v>
          </cell>
        </row>
        <row r="21">
          <cell r="AN21">
            <v>0.08</v>
          </cell>
        </row>
        <row r="27">
          <cell r="AN27">
            <v>-0.50305134589738842</v>
          </cell>
        </row>
        <row r="28">
          <cell r="AN28" t="str">
            <v>Heavily overvalued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58.22</v>
          </cell>
          <cell r="E3">
            <v>45751</v>
          </cell>
          <cell r="G3">
            <v>45784</v>
          </cell>
        </row>
        <row r="5">
          <cell r="D5">
            <v>38850.205999999998</v>
          </cell>
        </row>
        <row r="6">
          <cell r="D6">
            <v>4019.8</v>
          </cell>
        </row>
        <row r="9">
          <cell r="D9">
            <v>35836.805999999997</v>
          </cell>
        </row>
      </sheetData>
      <sheetData sheetId="1">
        <row r="3">
          <cell r="AQ3">
            <v>3602</v>
          </cell>
        </row>
        <row r="19">
          <cell r="AQ19">
            <v>-935.1</v>
          </cell>
          <cell r="AR19">
            <v>-514.98131720000038</v>
          </cell>
          <cell r="AS19">
            <v>-79.798835358000503</v>
          </cell>
          <cell r="AT19">
            <v>417.1052011499994</v>
          </cell>
          <cell r="AU19">
            <v>923.69251983036531</v>
          </cell>
          <cell r="BB19">
            <v>3075.1302764581133</v>
          </cell>
        </row>
        <row r="23">
          <cell r="AP23">
            <v>0.25806741573033709</v>
          </cell>
          <cell r="AQ23">
            <v>0.28679622749356937</v>
          </cell>
        </row>
        <row r="27">
          <cell r="BE27">
            <v>0.08</v>
          </cell>
        </row>
        <row r="33">
          <cell r="BE33">
            <v>-0.32008553378821236</v>
          </cell>
        </row>
        <row r="34">
          <cell r="BE34" t="str">
            <v>Overvalued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52.7</v>
          </cell>
          <cell r="E3">
            <v>45758</v>
          </cell>
          <cell r="G3">
            <v>45778</v>
          </cell>
        </row>
        <row r="5">
          <cell r="D5">
            <v>32642.38</v>
          </cell>
        </row>
        <row r="8">
          <cell r="D8">
            <v>2845.2000000000007</v>
          </cell>
        </row>
        <row r="9">
          <cell r="D9">
            <v>29797.18</v>
          </cell>
        </row>
      </sheetData>
      <sheetData sheetId="1">
        <row r="7">
          <cell r="Y7">
            <v>24121.1</v>
          </cell>
        </row>
        <row r="30">
          <cell r="Y30">
            <v>2897.1000000000013</v>
          </cell>
          <cell r="Z30">
            <v>482.28284520000005</v>
          </cell>
          <cell r="AA30">
            <v>815.27382816000022</v>
          </cell>
          <cell r="AB30">
            <v>1434.0540926184005</v>
          </cell>
          <cell r="AC30">
            <v>1925.6700331818413</v>
          </cell>
          <cell r="AJ30">
            <v>2532.0798113299024</v>
          </cell>
        </row>
        <row r="36">
          <cell r="AN36">
            <v>0.08</v>
          </cell>
        </row>
        <row r="38">
          <cell r="X38">
            <v>0.25006274384539928</v>
          </cell>
          <cell r="Y38">
            <v>0.10063607658471585</v>
          </cell>
        </row>
        <row r="42">
          <cell r="AN42">
            <v>-0.17606632725014193</v>
          </cell>
        </row>
        <row r="43">
          <cell r="Y43">
            <v>0.36851967779247219</v>
          </cell>
          <cell r="AN43" t="str">
            <v>Slightly overvalued</v>
          </cell>
        </row>
        <row r="47">
          <cell r="Y47">
            <v>3.6996654381433743E-2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149.62</v>
          </cell>
          <cell r="E3">
            <v>45764</v>
          </cell>
          <cell r="G3">
            <v>45785</v>
          </cell>
        </row>
        <row r="5">
          <cell r="D5">
            <v>8513.3780000000006</v>
          </cell>
        </row>
        <row r="8">
          <cell r="D8">
            <v>1262.8</v>
          </cell>
        </row>
        <row r="9">
          <cell r="D9">
            <v>7250.5780000000004</v>
          </cell>
        </row>
      </sheetData>
      <sheetData sheetId="1">
        <row r="3">
          <cell r="AZ3">
            <v>4727.8999999999996</v>
          </cell>
        </row>
        <row r="13">
          <cell r="AZ13">
            <v>454.49999999999966</v>
          </cell>
          <cell r="BA13">
            <v>449.57382599999983</v>
          </cell>
          <cell r="BB13">
            <v>445.48834746</v>
          </cell>
          <cell r="BC13">
            <v>441.07713379859996</v>
          </cell>
          <cell r="BD13">
            <v>443.01880423842584</v>
          </cell>
          <cell r="BK13">
            <v>451.90847390519497</v>
          </cell>
        </row>
        <row r="17">
          <cell r="AY17">
            <v>-2.7815200945136453E-2</v>
          </cell>
          <cell r="AZ17">
            <v>7.9735635859716769E-3</v>
          </cell>
        </row>
        <row r="18">
          <cell r="AZ18">
            <v>0.30677467797542246</v>
          </cell>
        </row>
        <row r="19">
          <cell r="AZ19">
            <v>0.11516741047822494</v>
          </cell>
        </row>
        <row r="20">
          <cell r="BN20">
            <v>0.08</v>
          </cell>
        </row>
        <row r="26">
          <cell r="BN26">
            <v>-0.23066366640452585</v>
          </cell>
        </row>
        <row r="27">
          <cell r="BN27" t="str">
            <v>Slightly overvalued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96.02</v>
          </cell>
          <cell r="F3">
            <v>45751</v>
          </cell>
          <cell r="H3">
            <v>45790</v>
          </cell>
        </row>
        <row r="5">
          <cell r="D5">
            <v>17370.018</v>
          </cell>
        </row>
        <row r="8">
          <cell r="D8">
            <v>1670.3</v>
          </cell>
        </row>
      </sheetData>
      <sheetData sheetId="1">
        <row r="3">
          <cell r="V3">
            <v>1300.3</v>
          </cell>
        </row>
        <row r="13">
          <cell r="V13">
            <v>-484.2000000000001</v>
          </cell>
          <cell r="W13">
            <v>224.29629999999995</v>
          </cell>
          <cell r="X13">
            <v>394.28181599999988</v>
          </cell>
          <cell r="Y13">
            <v>496.32664398000003</v>
          </cell>
          <cell r="Z13">
            <v>596.15461994340012</v>
          </cell>
        </row>
        <row r="17">
          <cell r="U17">
            <v>0.2059397030148491</v>
          </cell>
          <cell r="V17">
            <v>0.61728855721393039</v>
          </cell>
        </row>
        <row r="19">
          <cell r="AJ19">
            <v>0.08</v>
          </cell>
        </row>
        <row r="25">
          <cell r="AJ25">
            <v>-0.36407237828778038</v>
          </cell>
        </row>
        <row r="26">
          <cell r="AJ26" t="str">
            <v>Overvalued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7.93</v>
          </cell>
          <cell r="E3">
            <v>45751</v>
          </cell>
          <cell r="G3">
            <v>45771</v>
          </cell>
        </row>
        <row r="5">
          <cell r="D5">
            <v>13451.659</v>
          </cell>
        </row>
        <row r="8">
          <cell r="D8">
            <v>-267.69999999999982</v>
          </cell>
        </row>
        <row r="9">
          <cell r="D9">
            <v>13719.359</v>
          </cell>
        </row>
      </sheetData>
      <sheetData sheetId="1">
        <row r="3">
          <cell r="AQ3">
            <v>5361.4</v>
          </cell>
        </row>
        <row r="15">
          <cell r="AQ15">
            <v>-697.69999999999982</v>
          </cell>
          <cell r="AR15">
            <v>-256.86973999999924</v>
          </cell>
          <cell r="AS15">
            <v>-42.118379839999193</v>
          </cell>
          <cell r="AT15">
            <v>125.97534720256085</v>
          </cell>
          <cell r="AU15">
            <v>217.46516903044258</v>
          </cell>
          <cell r="BB15">
            <v>563.55633356373778</v>
          </cell>
        </row>
        <row r="19">
          <cell r="AP19">
            <v>9.561475944195319E-4</v>
          </cell>
          <cell r="AQ19">
            <v>0.16395293300334335</v>
          </cell>
        </row>
        <row r="22">
          <cell r="BE22">
            <v>0.08</v>
          </cell>
        </row>
        <row r="53">
          <cell r="BE53">
            <v>-0.28652956601637836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360.79</v>
          </cell>
          <cell r="E3">
            <v>45755</v>
          </cell>
          <cell r="G3">
            <v>45776</v>
          </cell>
        </row>
        <row r="5">
          <cell r="D5">
            <v>2682112.8600000003</v>
          </cell>
        </row>
        <row r="8">
          <cell r="D8">
            <v>42166</v>
          </cell>
        </row>
      </sheetData>
      <sheetData sheetId="1">
        <row r="5">
          <cell r="AU5">
            <v>239781</v>
          </cell>
        </row>
        <row r="17">
          <cell r="AU17">
            <v>88488</v>
          </cell>
          <cell r="AV17">
            <v>101152.82631099995</v>
          </cell>
          <cell r="AW17">
            <v>117737.47990989001</v>
          </cell>
          <cell r="AX17">
            <v>127720.2824728074</v>
          </cell>
          <cell r="AY17">
            <v>135662.49833809285</v>
          </cell>
          <cell r="BF17">
            <v>167651.30291836866</v>
          </cell>
        </row>
        <row r="22">
          <cell r="BI22">
            <v>0.05</v>
          </cell>
        </row>
        <row r="23">
          <cell r="AT23">
            <v>6.8820295556564215E-2</v>
          </cell>
          <cell r="AU23">
            <v>0.13149611872684797</v>
          </cell>
        </row>
        <row r="28">
          <cell r="BI28">
            <v>5.3517905418773992E-2</v>
          </cell>
        </row>
        <row r="29">
          <cell r="BI29" t="str">
            <v>Fairly valued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73.25</v>
          </cell>
          <cell r="E3">
            <v>45751</v>
          </cell>
          <cell r="G3">
            <v>45803</v>
          </cell>
        </row>
        <row r="5">
          <cell r="D5">
            <v>22458.45</v>
          </cell>
        </row>
        <row r="8">
          <cell r="D8">
            <v>8383.2000000000007</v>
          </cell>
        </row>
        <row r="9">
          <cell r="D9">
            <v>14075.25</v>
          </cell>
        </row>
      </sheetData>
      <sheetData sheetId="1">
        <row r="3">
          <cell r="AP3">
            <v>4665.2999999999993</v>
          </cell>
        </row>
        <row r="14">
          <cell r="AP14">
            <v>1009.8999999999994</v>
          </cell>
          <cell r="AQ14">
            <v>984.13692099999992</v>
          </cell>
          <cell r="AR14">
            <v>1020.4692323920002</v>
          </cell>
          <cell r="AS14">
            <v>1013.2984622599199</v>
          </cell>
          <cell r="AT14">
            <v>1012.8674818394792</v>
          </cell>
          <cell r="AZ14">
            <v>1075.1792418610989</v>
          </cell>
        </row>
        <row r="18">
          <cell r="AO18">
            <v>3.0571363532893248E-2</v>
          </cell>
          <cell r="AP18">
            <v>3.0481744085878892E-2</v>
          </cell>
        </row>
        <row r="21">
          <cell r="BC21">
            <v>0.08</v>
          </cell>
        </row>
        <row r="27">
          <cell r="BC27">
            <v>-7.5975386540388157E-2</v>
          </cell>
        </row>
        <row r="28">
          <cell r="BC28" t="str">
            <v>Fairly valued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310.01</v>
          </cell>
          <cell r="E3">
            <v>45751</v>
          </cell>
          <cell r="G3">
            <v>45784</v>
          </cell>
        </row>
        <row r="5">
          <cell r="D5">
            <v>13919.448999999999</v>
          </cell>
        </row>
        <row r="8">
          <cell r="D8">
            <v>785.8</v>
          </cell>
        </row>
        <row r="9">
          <cell r="D9">
            <v>13133.648999999999</v>
          </cell>
        </row>
      </sheetData>
      <sheetData sheetId="1">
        <row r="3">
          <cell r="AC3">
            <v>748.1</v>
          </cell>
        </row>
        <row r="15">
          <cell r="AC15">
            <v>88.699999999999974</v>
          </cell>
          <cell r="AD15">
            <v>117.56309199999988</v>
          </cell>
          <cell r="AE15">
            <v>181.39875499999997</v>
          </cell>
          <cell r="AF15">
            <v>266.05404514999987</v>
          </cell>
          <cell r="AG15">
            <v>349.6044035974997</v>
          </cell>
        </row>
        <row r="19">
          <cell r="AB19">
            <v>0.43734776725304458</v>
          </cell>
          <cell r="AC19">
            <v>0.40858595368103923</v>
          </cell>
        </row>
        <row r="20">
          <cell r="AC20">
            <v>0.72784387114022187</v>
          </cell>
        </row>
        <row r="22">
          <cell r="AR22">
            <v>0.08</v>
          </cell>
        </row>
        <row r="24">
          <cell r="AC24">
            <v>8.381232455554069E-2</v>
          </cell>
        </row>
        <row r="28">
          <cell r="AR28">
            <v>-0.48276090564846819</v>
          </cell>
        </row>
        <row r="29">
          <cell r="AR29" t="str">
            <v>Overvalued</v>
          </cell>
        </row>
        <row r="43">
          <cell r="AN43">
            <v>903.67385900421982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10.36</v>
          </cell>
          <cell r="E3">
            <v>45751</v>
          </cell>
          <cell r="G3">
            <v>45782</v>
          </cell>
        </row>
        <row r="5">
          <cell r="D5">
            <v>11270.644</v>
          </cell>
        </row>
        <row r="8">
          <cell r="D8">
            <v>1512.4000000000005</v>
          </cell>
        </row>
        <row r="9">
          <cell r="D9">
            <v>9758.2439999999988</v>
          </cell>
        </row>
      </sheetData>
      <sheetData sheetId="1">
        <row r="7">
          <cell r="Y7">
            <v>3766.2000000000003</v>
          </cell>
        </row>
        <row r="17">
          <cell r="Z17">
            <v>303.49784900000031</v>
          </cell>
          <cell r="AA17">
            <v>456.92357161199971</v>
          </cell>
          <cell r="AB17">
            <v>568.85512020544002</v>
          </cell>
          <cell r="AC17">
            <v>620.25302472713383</v>
          </cell>
          <cell r="AD17">
            <v>716.54640673339497</v>
          </cell>
          <cell r="AJ17">
            <v>836.28375176539021</v>
          </cell>
        </row>
        <row r="23">
          <cell r="AN23">
            <v>0.08</v>
          </cell>
        </row>
        <row r="24">
          <cell r="X24">
            <v>0.65216157948485232</v>
          </cell>
          <cell r="Y24">
            <v>0.29329349953641692</v>
          </cell>
        </row>
        <row r="29">
          <cell r="AN29">
            <v>-0.1126517168571709</v>
          </cell>
        </row>
        <row r="30">
          <cell r="AN30" t="str">
            <v>Slightly overvalued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18.190000000000001</v>
          </cell>
          <cell r="E3">
            <v>45751</v>
          </cell>
          <cell r="G3">
            <v>45782</v>
          </cell>
        </row>
        <row r="5">
          <cell r="D5">
            <v>10702.996000000003</v>
          </cell>
        </row>
        <row r="8">
          <cell r="D8">
            <v>988.9</v>
          </cell>
        </row>
        <row r="9">
          <cell r="D9">
            <v>9714.0960000000032</v>
          </cell>
        </row>
      </sheetData>
      <sheetData sheetId="1">
        <row r="6">
          <cell r="X6">
            <v>1800.3999999999999</v>
          </cell>
        </row>
        <row r="19">
          <cell r="X19">
            <v>-10.800000000000004</v>
          </cell>
          <cell r="Y19">
            <v>5.5730699999999729</v>
          </cell>
          <cell r="Z19">
            <v>249.4996469999999</v>
          </cell>
          <cell r="AA19">
            <v>416.75847354000007</v>
          </cell>
          <cell r="AB19">
            <v>549.03854741579983</v>
          </cell>
          <cell r="AI19">
            <v>1073.2544561412974</v>
          </cell>
        </row>
        <row r="25">
          <cell r="AM25">
            <v>0.08</v>
          </cell>
        </row>
        <row r="26">
          <cell r="W26">
            <v>0.98365076689701625</v>
          </cell>
          <cell r="X26">
            <v>0.52978162970515763</v>
          </cell>
        </row>
        <row r="31">
          <cell r="AM31">
            <v>-3.9690812656469676E-2</v>
          </cell>
        </row>
        <row r="32">
          <cell r="AM32" t="str">
            <v>Fairly valued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71.540000000000006</v>
          </cell>
          <cell r="E3">
            <v>45751</v>
          </cell>
          <cell r="G3">
            <v>45782</v>
          </cell>
        </row>
        <row r="5">
          <cell r="D5">
            <v>10673.768</v>
          </cell>
        </row>
        <row r="8">
          <cell r="D8">
            <v>1502.8</v>
          </cell>
        </row>
        <row r="9">
          <cell r="D9">
            <v>9170.9680000000008</v>
          </cell>
        </row>
      </sheetData>
      <sheetData sheetId="1">
        <row r="3">
          <cell r="AR3">
            <v>4606.5749999999998</v>
          </cell>
        </row>
        <row r="18">
          <cell r="AR18">
            <v>618.58199999999965</v>
          </cell>
          <cell r="AS18">
            <v>711.36306362499977</v>
          </cell>
          <cell r="AT18">
            <v>801.23706914000013</v>
          </cell>
          <cell r="AU18">
            <v>825.12573710620006</v>
          </cell>
          <cell r="AV18">
            <v>838.96848049124037</v>
          </cell>
          <cell r="BB18">
            <v>945.94553201326505</v>
          </cell>
        </row>
        <row r="22">
          <cell r="AQ22">
            <v>-5.2964374628214017E-2</v>
          </cell>
          <cell r="AR22">
            <v>7.1670350122135629E-2</v>
          </cell>
        </row>
        <row r="23">
          <cell r="AR23">
            <v>0.4344687756087765</v>
          </cell>
        </row>
        <row r="24">
          <cell r="AR24">
            <v>0.15152309470702194</v>
          </cell>
        </row>
        <row r="25">
          <cell r="BE25">
            <v>0.08</v>
          </cell>
        </row>
        <row r="31">
          <cell r="BE31">
            <v>0.10377013281789149</v>
          </cell>
        </row>
        <row r="32">
          <cell r="BE32" t="str">
            <v>Slightly undervalued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73.5</v>
          </cell>
          <cell r="E3">
            <v>45756</v>
          </cell>
          <cell r="G3">
            <v>45778</v>
          </cell>
        </row>
        <row r="5">
          <cell r="D5">
            <v>6548.8499999999995</v>
          </cell>
        </row>
        <row r="8">
          <cell r="D8">
            <v>-1629.1</v>
          </cell>
        </row>
        <row r="9">
          <cell r="D9">
            <v>8177.9499999999989</v>
          </cell>
        </row>
      </sheetData>
      <sheetData sheetId="1">
        <row r="3">
          <cell r="Z3">
            <v>3330.6000000000004</v>
          </cell>
        </row>
        <row r="23">
          <cell r="Z23">
            <v>199.2000000000003</v>
          </cell>
          <cell r="AA23">
            <v>238.72730960000027</v>
          </cell>
          <cell r="AB23">
            <v>504.26543477760021</v>
          </cell>
          <cell r="AC23">
            <v>599.2175455562882</v>
          </cell>
          <cell r="AD23">
            <v>674.82399552379991</v>
          </cell>
          <cell r="AK23">
            <v>948.73067900168962</v>
          </cell>
        </row>
        <row r="27">
          <cell r="Z27">
            <v>0.29858078602620086</v>
          </cell>
        </row>
        <row r="28">
          <cell r="Z28">
            <v>0.29216957905482505</v>
          </cell>
        </row>
        <row r="30">
          <cell r="AO30">
            <v>0.09</v>
          </cell>
        </row>
        <row r="32">
          <cell r="Z32">
            <v>7.4160811865729995E-2</v>
          </cell>
        </row>
        <row r="36">
          <cell r="AO36">
            <v>5.2231953691133093E-3</v>
          </cell>
        </row>
        <row r="37">
          <cell r="AO37" t="str">
            <v>Fairly valued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60</v>
          </cell>
          <cell r="E3">
            <v>45751</v>
          </cell>
          <cell r="G3">
            <v>45771</v>
          </cell>
        </row>
        <row r="5">
          <cell r="D5">
            <v>8753.9999999999982</v>
          </cell>
        </row>
        <row r="8">
          <cell r="D8">
            <v>2058.5</v>
          </cell>
        </row>
        <row r="9">
          <cell r="D9">
            <v>6695.4999999999982</v>
          </cell>
        </row>
      </sheetData>
      <sheetData sheetId="1">
        <row r="5">
          <cell r="AP5">
            <v>4112.7</v>
          </cell>
        </row>
        <row r="18">
          <cell r="AP18">
            <v>-129.40000000000018</v>
          </cell>
          <cell r="AQ18">
            <v>11.911727999999531</v>
          </cell>
          <cell r="AR18">
            <v>221.74054400000037</v>
          </cell>
          <cell r="AS18">
            <v>367.46020472000026</v>
          </cell>
          <cell r="AT18">
            <v>490.2996515480005</v>
          </cell>
          <cell r="BA18">
            <v>667.49017543233765</v>
          </cell>
        </row>
        <row r="24">
          <cell r="AO24">
            <v>0.11452969584546024</v>
          </cell>
          <cell r="AP24">
            <v>0.18018250688705217</v>
          </cell>
        </row>
        <row r="26">
          <cell r="BD26">
            <v>0.09</v>
          </cell>
        </row>
        <row r="32">
          <cell r="BD32">
            <v>-0.19948232694771839</v>
          </cell>
        </row>
        <row r="33">
          <cell r="BD33" t="str">
            <v>Slightly overvalued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139.97999999999999</v>
          </cell>
          <cell r="E3">
            <v>45772</v>
          </cell>
          <cell r="G3">
            <v>45776</v>
          </cell>
        </row>
        <row r="5">
          <cell r="D5">
            <v>6089.1299999999992</v>
          </cell>
        </row>
        <row r="8">
          <cell r="D8">
            <v>301.89999999999998</v>
          </cell>
        </row>
        <row r="9">
          <cell r="D9">
            <v>5787.23</v>
          </cell>
        </row>
      </sheetData>
      <sheetData sheetId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21.94</v>
          </cell>
          <cell r="E3">
            <v>45751</v>
          </cell>
          <cell r="G3">
            <v>45812</v>
          </cell>
        </row>
        <row r="5">
          <cell r="D5">
            <v>9809.3740000000016</v>
          </cell>
        </row>
        <row r="8">
          <cell r="D8">
            <v>4758</v>
          </cell>
        </row>
        <row r="9">
          <cell r="D9">
            <v>5051.3740000000016</v>
          </cell>
        </row>
      </sheetData>
      <sheetData sheetId="1">
        <row r="6">
          <cell r="BO6">
            <v>3823</v>
          </cell>
        </row>
        <row r="15">
          <cell r="BO15">
            <v>131.19999999999953</v>
          </cell>
          <cell r="BP15">
            <v>220.19491199999987</v>
          </cell>
          <cell r="BQ15">
            <v>363.49176903200004</v>
          </cell>
          <cell r="BR15">
            <v>403.39831621091969</v>
          </cell>
          <cell r="BS15">
            <v>413.39704472070275</v>
          </cell>
          <cell r="BV15">
            <v>442.28609158259547</v>
          </cell>
        </row>
        <row r="22">
          <cell r="BN22">
            <v>-0.11034622393197013</v>
          </cell>
          <cell r="BO22">
            <v>-0.27495827643756632</v>
          </cell>
        </row>
        <row r="23">
          <cell r="BO23">
            <v>0.2913680355741563</v>
          </cell>
        </row>
        <row r="24">
          <cell r="BO24">
            <v>-6.8532566047607782E-3</v>
          </cell>
        </row>
        <row r="30">
          <cell r="CC30">
            <v>0.08</v>
          </cell>
        </row>
        <row r="36">
          <cell r="CC36">
            <v>9.1688418573467878E-3</v>
          </cell>
        </row>
        <row r="37">
          <cell r="CC37" t="str">
            <v>Fairly valued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171.45</v>
          </cell>
          <cell r="E3">
            <v>45751</v>
          </cell>
          <cell r="G3">
            <v>45785</v>
          </cell>
        </row>
        <row r="5">
          <cell r="D5">
            <v>5023.4849999999997</v>
          </cell>
        </row>
        <row r="8">
          <cell r="D8">
            <v>639.6</v>
          </cell>
        </row>
        <row r="9">
          <cell r="D9">
            <v>4383.8849999999993</v>
          </cell>
        </row>
      </sheetData>
      <sheetData sheetId="1">
        <row r="5">
          <cell r="AC5">
            <v>672.3</v>
          </cell>
        </row>
        <row r="18">
          <cell r="AC18">
            <v>183.79999999999995</v>
          </cell>
          <cell r="AD18">
            <v>250.85972649999991</v>
          </cell>
          <cell r="AE18">
            <v>300.14029992000007</v>
          </cell>
          <cell r="AF18">
            <v>353.83407365279999</v>
          </cell>
          <cell r="AG18">
            <v>396.42219656109609</v>
          </cell>
          <cell r="AN18">
            <v>532.3451978283988</v>
          </cell>
        </row>
        <row r="24">
          <cell r="AB24">
            <v>-9.2676944639103032E-2</v>
          </cell>
          <cell r="AC24">
            <v>0.29812705155435415</v>
          </cell>
        </row>
        <row r="25">
          <cell r="AR25">
            <v>0.09</v>
          </cell>
        </row>
        <row r="31">
          <cell r="AR31">
            <v>8.4812741052432195E-2</v>
          </cell>
        </row>
        <row r="32">
          <cell r="AR32" t="str">
            <v>Fairly valued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166.7</v>
          </cell>
          <cell r="E3">
            <v>45771</v>
          </cell>
          <cell r="G3">
            <v>45862</v>
          </cell>
        </row>
        <row r="5">
          <cell r="D5">
            <v>2032072.9999999998</v>
          </cell>
        </row>
        <row r="8">
          <cell r="D8">
            <v>122756</v>
          </cell>
        </row>
      </sheetData>
      <sheetData sheetId="1">
        <row r="10">
          <cell r="AU10">
            <v>350018</v>
          </cell>
        </row>
        <row r="20">
          <cell r="AU20">
            <v>100118</v>
          </cell>
          <cell r="AV20">
            <v>121680.94497999999</v>
          </cell>
          <cell r="AW20">
            <v>123004.61450550004</v>
          </cell>
          <cell r="AX20">
            <v>129980.58909355801</v>
          </cell>
          <cell r="AY20">
            <v>136266.60377430829</v>
          </cell>
          <cell r="BF20">
            <v>157263.37323500347</v>
          </cell>
        </row>
        <row r="30">
          <cell r="AT30">
            <v>8.6827702272695095E-2</v>
          </cell>
          <cell r="AU30">
            <v>0.13866243322901561</v>
          </cell>
        </row>
        <row r="33">
          <cell r="BI33">
            <v>0.06</v>
          </cell>
        </row>
        <row r="39">
          <cell r="BI39">
            <v>0.17985662830320859</v>
          </cell>
        </row>
        <row r="40">
          <cell r="BI40" t="str">
            <v>Slightly undervalued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22.57</v>
          </cell>
          <cell r="E3">
            <v>45729</v>
          </cell>
          <cell r="G3">
            <v>45804</v>
          </cell>
        </row>
        <row r="5">
          <cell r="D5">
            <v>4918.0030000000006</v>
          </cell>
        </row>
        <row r="8">
          <cell r="D8">
            <v>364.29999999999995</v>
          </cell>
        </row>
        <row r="9">
          <cell r="D9">
            <v>4553.7030000000004</v>
          </cell>
        </row>
      </sheetData>
      <sheetData sheetId="1">
        <row r="3">
          <cell r="AA3">
            <v>43.099999999999994</v>
          </cell>
        </row>
        <row r="18">
          <cell r="AA18">
            <v>-331.7</v>
          </cell>
          <cell r="AB18">
            <v>-240.65150000000003</v>
          </cell>
          <cell r="AC18">
            <v>-249.37895000000003</v>
          </cell>
          <cell r="AD18">
            <v>-234.94165740000014</v>
          </cell>
          <cell r="AE18">
            <v>-201.95642231800011</v>
          </cell>
          <cell r="AL18">
            <v>471.97088145323158</v>
          </cell>
        </row>
        <row r="22">
          <cell r="Z22">
            <v>0.96428571428571441</v>
          </cell>
          <cell r="AA22">
            <v>0.95909090909090877</v>
          </cell>
        </row>
        <row r="24">
          <cell r="AP24">
            <v>0.09</v>
          </cell>
        </row>
        <row r="30">
          <cell r="AP30">
            <v>-0.68463910360246483</v>
          </cell>
        </row>
        <row r="31">
          <cell r="AP31" t="str">
            <v>Heavily overvalued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8.98</v>
          </cell>
          <cell r="F3">
            <v>45730</v>
          </cell>
          <cell r="H3">
            <v>45762</v>
          </cell>
        </row>
        <row r="5">
          <cell r="D5">
            <v>9241.3179999999993</v>
          </cell>
        </row>
        <row r="8">
          <cell r="D8">
            <v>4869.2</v>
          </cell>
        </row>
        <row r="9">
          <cell r="D9">
            <v>4372.1179999999995</v>
          </cell>
        </row>
      </sheetData>
      <sheetData sheetId="1">
        <row r="12">
          <cell r="Q12">
            <v>1537.2</v>
          </cell>
        </row>
        <row r="25">
          <cell r="R25">
            <v>473.03391999999985</v>
          </cell>
          <cell r="S25">
            <v>534.5631527999999</v>
          </cell>
          <cell r="T25">
            <v>578.60699919000012</v>
          </cell>
          <cell r="U25">
            <v>611.49006039330015</v>
          </cell>
          <cell r="V25">
            <v>639.76869922577112</v>
          </cell>
          <cell r="AB25">
            <v>743.29147184424301</v>
          </cell>
        </row>
        <row r="36">
          <cell r="P36">
            <v>0.76377670077185411</v>
          </cell>
          <cell r="Q36">
            <v>0.56442092407897415</v>
          </cell>
          <cell r="AE36">
            <v>0.09</v>
          </cell>
        </row>
        <row r="39">
          <cell r="Q39">
            <v>0.71064272703616971</v>
          </cell>
        </row>
        <row r="41">
          <cell r="Q41">
            <v>0.32650273224043719</v>
          </cell>
        </row>
        <row r="42">
          <cell r="AE42">
            <v>0.29282192477201852</v>
          </cell>
        </row>
        <row r="43">
          <cell r="AE43" t="str">
            <v>Undervalued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8.5</v>
          </cell>
          <cell r="F3">
            <v>45751</v>
          </cell>
          <cell r="G3">
            <v>45806</v>
          </cell>
        </row>
        <row r="5">
          <cell r="D5">
            <v>2686.8500000000004</v>
          </cell>
        </row>
        <row r="10">
          <cell r="D10">
            <v>-1781.8596491228072</v>
          </cell>
        </row>
        <row r="11">
          <cell r="D11">
            <v>4468.7096491228076</v>
          </cell>
        </row>
        <row r="13">
          <cell r="D13">
            <v>5.7</v>
          </cell>
        </row>
      </sheetData>
      <sheetData sheetId="1">
        <row r="6">
          <cell r="AD6">
            <v>18809.799999999996</v>
          </cell>
        </row>
        <row r="16">
          <cell r="AD16">
            <v>2190.4999999999959</v>
          </cell>
          <cell r="AE16">
            <v>2447.7661083999997</v>
          </cell>
          <cell r="AF16">
            <v>2682.2941770360017</v>
          </cell>
          <cell r="AG16">
            <v>2906.7806473567202</v>
          </cell>
          <cell r="AH16">
            <v>3094.6345346702537</v>
          </cell>
          <cell r="AO16">
            <v>3391.2542794109427</v>
          </cell>
        </row>
        <row r="22">
          <cell r="AS22">
            <v>0.16</v>
          </cell>
        </row>
        <row r="23">
          <cell r="AC23">
            <v>4.0000260842914193E-2</v>
          </cell>
          <cell r="AD23">
            <v>0.17942351222387298</v>
          </cell>
        </row>
        <row r="29">
          <cell r="AS29">
            <v>-0.46482714641767242</v>
          </cell>
        </row>
        <row r="30">
          <cell r="AS30" t="str">
            <v>Overvalued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11.39</v>
          </cell>
          <cell r="E3">
            <v>45751</v>
          </cell>
          <cell r="G3">
            <v>45832</v>
          </cell>
        </row>
        <row r="5">
          <cell r="D5">
            <v>3338.4090000000006</v>
          </cell>
        </row>
        <row r="10">
          <cell r="D10">
            <v>-1257.5441696113076</v>
          </cell>
        </row>
        <row r="11">
          <cell r="D11">
            <v>4595.9531696113081</v>
          </cell>
        </row>
        <row r="13">
          <cell r="D13">
            <v>5.66</v>
          </cell>
        </row>
      </sheetData>
      <sheetData sheetId="1">
        <row r="6">
          <cell r="AM6">
            <v>12739.2</v>
          </cell>
        </row>
        <row r="18">
          <cell r="AM18">
            <v>-1513.1999999999989</v>
          </cell>
          <cell r="AN18">
            <v>2347.7740160000003</v>
          </cell>
          <cell r="AO18">
            <v>2787.1722259499988</v>
          </cell>
          <cell r="AP18">
            <v>3030.7280011533003</v>
          </cell>
          <cell r="AQ18">
            <v>3213.3589068391652</v>
          </cell>
          <cell r="AX18">
            <v>3468.1040439939879</v>
          </cell>
        </row>
        <row r="24">
          <cell r="BC24">
            <v>0.15</v>
          </cell>
        </row>
        <row r="25">
          <cell r="AL25">
            <v>0.26036999245818726</v>
          </cell>
          <cell r="AM25">
            <v>0.12101372756071815</v>
          </cell>
        </row>
        <row r="26">
          <cell r="AM26">
            <v>0.73396288620949512</v>
          </cell>
        </row>
        <row r="30">
          <cell r="AM30">
            <v>0.19938457673951274</v>
          </cell>
        </row>
        <row r="31">
          <cell r="BC31">
            <v>0.47478324345323664</v>
          </cell>
        </row>
        <row r="32">
          <cell r="BC32" t="str">
            <v>Undervalued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14.96</v>
          </cell>
          <cell r="E3">
            <v>45751</v>
          </cell>
          <cell r="G3">
            <v>45784</v>
          </cell>
        </row>
        <row r="5">
          <cell r="D5">
            <v>896.10400000000004</v>
          </cell>
        </row>
        <row r="8">
          <cell r="D8">
            <v>-2146.9</v>
          </cell>
        </row>
        <row r="9">
          <cell r="D9">
            <v>3043.0039999999999</v>
          </cell>
        </row>
      </sheetData>
      <sheetData sheetId="1">
        <row r="3">
          <cell r="AD3">
            <v>1426.5</v>
          </cell>
        </row>
        <row r="16">
          <cell r="AD16">
            <v>-126.69999999999992</v>
          </cell>
          <cell r="AE16">
            <v>-110.99999999999984</v>
          </cell>
          <cell r="AF16">
            <v>-1895.4</v>
          </cell>
          <cell r="AG16">
            <v>-20.400000000000027</v>
          </cell>
          <cell r="AH16">
            <v>21.999999999999979</v>
          </cell>
        </row>
        <row r="20">
          <cell r="AC20">
            <v>0.24318400981853228</v>
          </cell>
          <cell r="AD20">
            <v>5.9234186587688864E-3</v>
          </cell>
        </row>
        <row r="22">
          <cell r="AV22">
            <v>0.09</v>
          </cell>
        </row>
        <row r="28">
          <cell r="AV28">
            <v>5.3153950437602404E-2</v>
          </cell>
        </row>
        <row r="29">
          <cell r="AV29" t="str">
            <v>Fairly valued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15</v>
          </cell>
          <cell r="F3">
            <v>45751</v>
          </cell>
          <cell r="H3">
            <v>45771</v>
          </cell>
        </row>
        <row r="5">
          <cell r="D5">
            <v>1327.5</v>
          </cell>
        </row>
        <row r="8">
          <cell r="D8">
            <v>93.9</v>
          </cell>
        </row>
        <row r="9">
          <cell r="D9">
            <v>1233.5999999999999</v>
          </cell>
        </row>
      </sheetData>
      <sheetData sheetId="1">
        <row r="8">
          <cell r="AA8">
            <v>482.9</v>
          </cell>
        </row>
        <row r="27">
          <cell r="AB27">
            <v>106.2141045000001</v>
          </cell>
          <cell r="AC27">
            <v>138.91624085999987</v>
          </cell>
          <cell r="AD27">
            <v>170.45307595219995</v>
          </cell>
          <cell r="AE27">
            <v>182.54290103168199</v>
          </cell>
          <cell r="AF27">
            <v>193.13506186367351</v>
          </cell>
          <cell r="AL27">
            <v>230.4903218822634</v>
          </cell>
        </row>
        <row r="34">
          <cell r="Z34">
            <v>0.19909502262443413</v>
          </cell>
          <cell r="AA34">
            <v>0.2148427672955977</v>
          </cell>
        </row>
        <row r="38">
          <cell r="AA38">
            <v>0.7256160695796231</v>
          </cell>
        </row>
        <row r="39">
          <cell r="AO39">
            <v>0.1</v>
          </cell>
        </row>
        <row r="41">
          <cell r="AA41">
            <v>0.19092979913025471</v>
          </cell>
        </row>
        <row r="45">
          <cell r="AO45">
            <v>0.4949184142731724</v>
          </cell>
        </row>
        <row r="46">
          <cell r="AO46" t="str">
            <v>Undervalued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8.9</v>
          </cell>
          <cell r="E3">
            <v>45751</v>
          </cell>
          <cell r="G3">
            <v>45784</v>
          </cell>
        </row>
        <row r="5">
          <cell r="D5">
            <v>1059.99</v>
          </cell>
        </row>
        <row r="8">
          <cell r="D8">
            <v>327.9</v>
          </cell>
        </row>
        <row r="9">
          <cell r="D9">
            <v>732.09</v>
          </cell>
        </row>
      </sheetData>
      <sheetData sheetId="1">
        <row r="3">
          <cell r="AR3">
            <v>1402.8980000000001</v>
          </cell>
        </row>
        <row r="14">
          <cell r="AQ14">
            <v>-38.09999999999998</v>
          </cell>
          <cell r="AR14">
            <v>-92.030840999999953</v>
          </cell>
          <cell r="AS14">
            <v>-58.674754727999911</v>
          </cell>
          <cell r="AT14">
            <v>-32.344843405823966</v>
          </cell>
          <cell r="AU14">
            <v>-8.0104510907666544</v>
          </cell>
          <cell r="BB14">
            <v>39.186524286926428</v>
          </cell>
        </row>
        <row r="18">
          <cell r="AP18">
            <v>-5.5409723807349986E-2</v>
          </cell>
          <cell r="AQ18">
            <v>-8.2885277593185425E-2</v>
          </cell>
        </row>
        <row r="21">
          <cell r="BE21">
            <v>0.1</v>
          </cell>
        </row>
        <row r="27">
          <cell r="BE27">
            <v>-0.48395796893878795</v>
          </cell>
        </row>
        <row r="28">
          <cell r="BE28" t="str">
            <v>Overvalued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7.37</v>
          </cell>
          <cell r="E3">
            <v>45751</v>
          </cell>
          <cell r="G3">
            <v>45777</v>
          </cell>
        </row>
        <row r="5">
          <cell r="D5">
            <v>773.11300000000006</v>
          </cell>
        </row>
        <row r="8">
          <cell r="D8">
            <v>-64.099999999999994</v>
          </cell>
        </row>
        <row r="9">
          <cell r="D9">
            <v>837.21300000000008</v>
          </cell>
        </row>
      </sheetData>
      <sheetData sheetId="1">
        <row r="3">
          <cell r="AK3">
            <v>1316.4</v>
          </cell>
        </row>
        <row r="18">
          <cell r="AJ18">
            <v>6.1668242309650179E-2</v>
          </cell>
          <cell r="AK18">
            <v>-9.8294403726282509E-2</v>
          </cell>
        </row>
        <row r="21">
          <cell r="AY21">
            <v>0.1</v>
          </cell>
        </row>
        <row r="41">
          <cell r="AK41">
            <v>-71.999999999999844</v>
          </cell>
          <cell r="AL41">
            <v>12.516575999999892</v>
          </cell>
          <cell r="AM41">
            <v>38.902842901999918</v>
          </cell>
          <cell r="AN41">
            <v>76.496561388799961</v>
          </cell>
          <cell r="AO41">
            <v>117.82675900516999</v>
          </cell>
          <cell r="AV41">
            <v>161.75848071012334</v>
          </cell>
        </row>
        <row r="49">
          <cell r="AY49">
            <v>0.42182547973186435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1.21</v>
          </cell>
          <cell r="E3">
            <v>45751</v>
          </cell>
          <cell r="G3">
            <v>45785</v>
          </cell>
        </row>
        <row r="5">
          <cell r="D5">
            <v>1119.492</v>
          </cell>
        </row>
        <row r="8">
          <cell r="D8">
            <v>361</v>
          </cell>
        </row>
        <row r="9">
          <cell r="D9">
            <v>758.49199999999996</v>
          </cell>
        </row>
      </sheetData>
      <sheetData sheetId="1">
        <row r="8">
          <cell r="AA8">
            <v>628.79999999999995</v>
          </cell>
        </row>
        <row r="33">
          <cell r="AA33">
            <v>-2104.9</v>
          </cell>
          <cell r="AB33">
            <v>-722.21355000000028</v>
          </cell>
          <cell r="AC33">
            <v>-504.726876</v>
          </cell>
          <cell r="AD33">
            <v>-298.75576328999978</v>
          </cell>
          <cell r="AE33">
            <v>-107.28387832140008</v>
          </cell>
          <cell r="AL33">
            <v>414.10854312175729</v>
          </cell>
        </row>
        <row r="39">
          <cell r="AP39">
            <v>0.11</v>
          </cell>
        </row>
        <row r="42">
          <cell r="Z42">
            <v>0.27060165383518697</v>
          </cell>
          <cell r="AA42">
            <v>-0.29443447037701986</v>
          </cell>
        </row>
        <row r="45">
          <cell r="AP45">
            <v>-0.48096549399129951</v>
          </cell>
        </row>
        <row r="46">
          <cell r="AP46" t="str">
            <v>Overvalued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12.25</v>
          </cell>
          <cell r="E3">
            <v>45751</v>
          </cell>
          <cell r="G3">
            <v>45792</v>
          </cell>
        </row>
        <row r="5">
          <cell r="D5">
            <v>426.29999999999995</v>
          </cell>
        </row>
        <row r="8">
          <cell r="D8">
            <v>-9.2000000000000028</v>
          </cell>
        </row>
        <row r="9">
          <cell r="D9">
            <v>435.49999999999994</v>
          </cell>
        </row>
      </sheetData>
      <sheetData sheetId="1">
        <row r="3">
          <cell r="Y3">
            <v>127.2</v>
          </cell>
        </row>
        <row r="18">
          <cell r="Y18">
            <v>30.799999999999997</v>
          </cell>
          <cell r="Z18">
            <v>44.091199999999979</v>
          </cell>
          <cell r="AA18">
            <v>51.848129999999976</v>
          </cell>
          <cell r="AB18">
            <v>55.878580949999979</v>
          </cell>
          <cell r="AC18">
            <v>60.321196610999991</v>
          </cell>
          <cell r="AJ18">
            <v>95.855297968775517</v>
          </cell>
        </row>
        <row r="22">
          <cell r="X22">
            <v>0.42091503267973862</v>
          </cell>
          <cell r="Y22">
            <v>0.170193192272309</v>
          </cell>
        </row>
        <row r="23">
          <cell r="Y23">
            <v>0.94103773584905659</v>
          </cell>
        </row>
        <row r="25">
          <cell r="AM25">
            <v>0.11</v>
          </cell>
        </row>
        <row r="27">
          <cell r="Y27">
            <v>0.285377358490566</v>
          </cell>
        </row>
        <row r="31">
          <cell r="AM31">
            <v>0.5144913850915962</v>
          </cell>
        </row>
        <row r="32">
          <cell r="AM32" t="str">
            <v>Heavily undervalued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179.8</v>
          </cell>
          <cell r="E3">
            <v>45755</v>
          </cell>
          <cell r="G3">
            <v>45771</v>
          </cell>
        </row>
        <row r="5">
          <cell r="D5">
            <v>1897249.6</v>
          </cell>
        </row>
        <row r="8">
          <cell r="D8">
            <v>48579</v>
          </cell>
        </row>
      </sheetData>
      <sheetData sheetId="1">
        <row r="5">
          <cell r="AX5">
            <v>637959</v>
          </cell>
        </row>
        <row r="21">
          <cell r="AX21">
            <v>59248</v>
          </cell>
          <cell r="AY21">
            <v>68538.312910000066</v>
          </cell>
          <cell r="AZ21">
            <v>88366.472454824994</v>
          </cell>
          <cell r="BA21">
            <v>97453.956771787256</v>
          </cell>
          <cell r="BB21">
            <v>105030.7812352725</v>
          </cell>
          <cell r="BI21">
            <v>123185.60267232871</v>
          </cell>
        </row>
        <row r="27">
          <cell r="AW27">
            <v>0.1182957412988368</v>
          </cell>
          <cell r="AX27">
            <v>0.1099089224666614</v>
          </cell>
        </row>
        <row r="30">
          <cell r="BL30">
            <v>0.05</v>
          </cell>
        </row>
        <row r="36">
          <cell r="BL36">
            <v>8.8029229814509335E-2</v>
          </cell>
        </row>
        <row r="37">
          <cell r="BL37" t="str">
            <v>Fairly valued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6.1</v>
          </cell>
          <cell r="E3">
            <v>45751</v>
          </cell>
          <cell r="G3">
            <v>45777</v>
          </cell>
        </row>
        <row r="5">
          <cell r="D5">
            <v>85.399999999999991</v>
          </cell>
        </row>
        <row r="8">
          <cell r="D8">
            <v>-17.099999999999994</v>
          </cell>
        </row>
        <row r="9">
          <cell r="D9">
            <v>102.49999999999999</v>
          </cell>
        </row>
      </sheetData>
      <sheetData sheetId="1">
        <row r="7">
          <cell r="AU7">
            <v>206.39999999999998</v>
          </cell>
        </row>
        <row r="23">
          <cell r="AU23">
            <v>3.1999999999999886</v>
          </cell>
          <cell r="AV23">
            <v>0.61426499999996054</v>
          </cell>
          <cell r="AW23">
            <v>13.698367175999968</v>
          </cell>
          <cell r="AX23">
            <v>17.129505912479978</v>
          </cell>
          <cell r="AY23">
            <v>19.595469755830393</v>
          </cell>
        </row>
        <row r="31">
          <cell r="AT31">
            <v>-0.23368678629690032</v>
          </cell>
          <cell r="AU31">
            <v>9.8456625864821401E-2</v>
          </cell>
        </row>
        <row r="33">
          <cell r="BI33">
            <v>0.12</v>
          </cell>
        </row>
        <row r="39">
          <cell r="BI39">
            <v>0.51120802229567275</v>
          </cell>
        </row>
        <row r="40">
          <cell r="BI40" t="str">
            <v>Heavily undervalued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0.73199999999999998</v>
          </cell>
          <cell r="E3">
            <v>44279</v>
          </cell>
          <cell r="G3">
            <v>44406</v>
          </cell>
        </row>
        <row r="5">
          <cell r="D5">
            <v>187.61160000000001</v>
          </cell>
        </row>
        <row r="8">
          <cell r="D8">
            <v>0</v>
          </cell>
        </row>
        <row r="9">
          <cell r="D9">
            <v>187.61160000000001</v>
          </cell>
        </row>
      </sheetData>
      <sheetData sheetId="1">
        <row r="24">
          <cell r="AE24">
            <v>0.11</v>
          </cell>
        </row>
        <row r="30">
          <cell r="AE30">
            <v>-0.25169013126318518</v>
          </cell>
        </row>
        <row r="31">
          <cell r="AE31" t="str">
            <v>Slightly overvalued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0.56620000000000004</v>
          </cell>
          <cell r="E3">
            <v>45751</v>
          </cell>
          <cell r="G3">
            <v>45802</v>
          </cell>
        </row>
        <row r="5">
          <cell r="D5">
            <v>59.507620000000003</v>
          </cell>
        </row>
        <row r="8">
          <cell r="D8">
            <v>401.09999999999997</v>
          </cell>
        </row>
        <row r="9">
          <cell r="D9">
            <v>-341.59237999999993</v>
          </cell>
        </row>
      </sheetData>
      <sheetData sheetId="1">
        <row r="3">
          <cell r="AD3">
            <v>617.6</v>
          </cell>
        </row>
        <row r="15">
          <cell r="AD15">
            <v>-29.899999999999945</v>
          </cell>
          <cell r="AE15">
            <v>-99.47824999999996</v>
          </cell>
          <cell r="AF15">
            <v>-83.16289500000002</v>
          </cell>
          <cell r="AG15">
            <v>-59.940097869999995</v>
          </cell>
          <cell r="AH15">
            <v>-44.752185381000011</v>
          </cell>
        </row>
        <row r="19">
          <cell r="AC19">
            <v>-6.5727699530516381E-2</v>
          </cell>
          <cell r="AD19">
            <v>-0.13791178112786151</v>
          </cell>
        </row>
        <row r="21">
          <cell r="AS21">
            <v>0.12</v>
          </cell>
        </row>
        <row r="27">
          <cell r="AS27">
            <v>0.25066821021641306</v>
          </cell>
        </row>
        <row r="28">
          <cell r="AS28" t="str">
            <v>Slightly undervalued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4.07</v>
          </cell>
          <cell r="E3">
            <v>45751</v>
          </cell>
          <cell r="G3">
            <v>45777</v>
          </cell>
        </row>
        <row r="5">
          <cell r="D5">
            <v>71.632000000000005</v>
          </cell>
        </row>
        <row r="8">
          <cell r="D8">
            <v>239</v>
          </cell>
        </row>
        <row r="9">
          <cell r="D9">
            <v>-167.36799999999999</v>
          </cell>
        </row>
      </sheetData>
      <sheetData sheetId="1">
        <row r="3">
          <cell r="AI3">
            <v>95.5</v>
          </cell>
        </row>
        <row r="14">
          <cell r="AI14">
            <v>-93.9</v>
          </cell>
          <cell r="AJ14">
            <v>-59.968500000000006</v>
          </cell>
          <cell r="AK14">
            <v>-42.065130000000011</v>
          </cell>
          <cell r="AL14">
            <v>-29.314150250000012</v>
          </cell>
          <cell r="AM14">
            <v>-18.632540500000005</v>
          </cell>
          <cell r="AS14">
            <v>0.69729380650535155</v>
          </cell>
        </row>
        <row r="18">
          <cell r="AH18">
            <v>-0.43604004449388212</v>
          </cell>
          <cell r="AI18">
            <v>-0.37212360289283364</v>
          </cell>
        </row>
        <row r="21">
          <cell r="AW21">
            <v>0.12</v>
          </cell>
        </row>
        <row r="27">
          <cell r="AW27">
            <v>-0.52302112324583339</v>
          </cell>
        </row>
        <row r="28">
          <cell r="AW28" t="str">
            <v>Heavily overvalued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1.27</v>
          </cell>
          <cell r="E3">
            <v>45751</v>
          </cell>
          <cell r="G3">
            <v>45845</v>
          </cell>
        </row>
        <row r="5">
          <cell r="D5">
            <v>94.234000000000009</v>
          </cell>
        </row>
        <row r="8">
          <cell r="D8">
            <v>-15.5</v>
          </cell>
        </row>
        <row r="9">
          <cell r="D9">
            <v>109.73400000000001</v>
          </cell>
        </row>
      </sheetData>
      <sheetData sheetId="1">
        <row r="3">
          <cell r="T3">
            <v>46.9</v>
          </cell>
        </row>
        <row r="17">
          <cell r="T17">
            <v>-76.160000000000011</v>
          </cell>
          <cell r="U17">
            <v>2.1120000000000005</v>
          </cell>
          <cell r="V17">
            <v>8.7361250000000013</v>
          </cell>
          <cell r="W17">
            <v>15.032579999999999</v>
          </cell>
          <cell r="X17">
            <v>20.612932799999989</v>
          </cell>
          <cell r="AE17">
            <v>50.431172568710124</v>
          </cell>
        </row>
        <row r="21">
          <cell r="S21">
            <v>2.4338235294117649</v>
          </cell>
          <cell r="T21">
            <v>4.2826552462524869E-3</v>
          </cell>
        </row>
        <row r="24">
          <cell r="AH24">
            <v>0.12</v>
          </cell>
        </row>
        <row r="30">
          <cell r="AH30">
            <v>0.51192284558708812</v>
          </cell>
        </row>
        <row r="31">
          <cell r="AH31" t="str">
            <v>Heavily undervalued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3.72</v>
          </cell>
          <cell r="E3">
            <v>45772</v>
          </cell>
          <cell r="G3">
            <v>45817</v>
          </cell>
        </row>
        <row r="5">
          <cell r="D5">
            <v>78.492000000000004</v>
          </cell>
        </row>
        <row r="8">
          <cell r="D8">
            <v>128</v>
          </cell>
        </row>
        <row r="9">
          <cell r="D9">
            <v>-49.507999999999996</v>
          </cell>
        </row>
      </sheetData>
      <sheetData sheetId="1">
        <row r="13">
          <cell r="AE13">
            <v>139.44</v>
          </cell>
        </row>
        <row r="23">
          <cell r="Z23">
            <v>31.400000000000002</v>
          </cell>
          <cell r="AA23">
            <v>49.3</v>
          </cell>
          <cell r="AB23">
            <v>114.3</v>
          </cell>
          <cell r="AC23">
            <v>125.6</v>
          </cell>
          <cell r="AD23">
            <v>122.6</v>
          </cell>
        </row>
        <row r="31">
          <cell r="AO31">
            <v>80.653233362146324</v>
          </cell>
        </row>
        <row r="42">
          <cell r="AS42">
            <v>0.12</v>
          </cell>
        </row>
        <row r="44">
          <cell r="AD44">
            <v>-9.0761750405186525E-2</v>
          </cell>
          <cell r="AE44">
            <v>0.24278074866310151</v>
          </cell>
        </row>
        <row r="48">
          <cell r="AS48">
            <v>0.5117314448778445</v>
          </cell>
        </row>
        <row r="49">
          <cell r="AS49" t="str">
            <v>Heavily undervalued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4.33</v>
          </cell>
          <cell r="E3">
            <v>45751</v>
          </cell>
          <cell r="G3">
            <v>45785</v>
          </cell>
        </row>
        <row r="5">
          <cell r="D5">
            <v>40.702000000000005</v>
          </cell>
        </row>
        <row r="8">
          <cell r="D8">
            <v>19.7</v>
          </cell>
        </row>
        <row r="9">
          <cell r="D9">
            <v>21.002000000000006</v>
          </cell>
        </row>
      </sheetData>
      <sheetData sheetId="1">
        <row r="3">
          <cell r="AA3">
            <v>12.3</v>
          </cell>
        </row>
        <row r="12">
          <cell r="AC12">
            <v>-0.35477249999999816</v>
          </cell>
          <cell r="AD12">
            <v>-0.17520344999999893</v>
          </cell>
          <cell r="AE12">
            <v>6.0903360000006401E-3</v>
          </cell>
          <cell r="AF12">
            <v>0.18916201917000153</v>
          </cell>
          <cell r="AG12">
            <v>0.37406563723890129</v>
          </cell>
          <cell r="AL12">
            <v>1.3280179061214192</v>
          </cell>
        </row>
        <row r="16">
          <cell r="AA16">
            <v>-6.1068702290076216E-2</v>
          </cell>
          <cell r="AB16">
            <v>2.2357723577235866E-2</v>
          </cell>
        </row>
        <row r="18">
          <cell r="AO18">
            <v>0.12</v>
          </cell>
        </row>
        <row r="24">
          <cell r="AO24">
            <v>-0.42072331946903563</v>
          </cell>
        </row>
        <row r="25">
          <cell r="AO25" t="str">
            <v>Overvalued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18.45</v>
          </cell>
          <cell r="E3">
            <v>45751</v>
          </cell>
          <cell r="G3">
            <v>45741</v>
          </cell>
        </row>
        <row r="5">
          <cell r="D5">
            <v>184.03874999999999</v>
          </cell>
        </row>
        <row r="10">
          <cell r="D10">
            <v>42.906336088154269</v>
          </cell>
        </row>
        <row r="11">
          <cell r="D11">
            <v>141.13241391184573</v>
          </cell>
        </row>
      </sheetData>
      <sheetData sheetId="1">
        <row r="5">
          <cell r="O5">
            <v>712.375</v>
          </cell>
        </row>
        <row r="23">
          <cell r="O23">
            <v>-8.9289999999999505</v>
          </cell>
          <cell r="P23">
            <v>-4.1479499999999918</v>
          </cell>
          <cell r="Q23">
            <v>0.25370300000004137</v>
          </cell>
          <cell r="R23">
            <v>6.864712200000076</v>
          </cell>
          <cell r="S23">
            <v>9.7365742740000307</v>
          </cell>
          <cell r="Z23">
            <v>0.78859206231218193</v>
          </cell>
        </row>
        <row r="27">
          <cell r="N27">
            <v>0.27266636891469398</v>
          </cell>
          <cell r="O27">
            <v>0.25</v>
          </cell>
        </row>
        <row r="30">
          <cell r="AC30">
            <v>0.15</v>
          </cell>
        </row>
        <row r="37">
          <cell r="AC37">
            <v>-0.7539115941398663</v>
          </cell>
        </row>
        <row r="38">
          <cell r="AC38" t="str">
            <v>Heavily overvalued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527</v>
          </cell>
          <cell r="E3">
            <v>45751</v>
          </cell>
          <cell r="G3">
            <v>45770</v>
          </cell>
        </row>
        <row r="5">
          <cell r="D5">
            <v>1335259.9000000001</v>
          </cell>
        </row>
        <row r="8">
          <cell r="D8">
            <v>55059</v>
          </cell>
        </row>
      </sheetData>
      <sheetData sheetId="1">
        <row r="3">
          <cell r="AU3">
            <v>164500</v>
          </cell>
        </row>
        <row r="13">
          <cell r="AU13">
            <v>60810</v>
          </cell>
          <cell r="AV13">
            <v>73128.653576000012</v>
          </cell>
          <cell r="AW13">
            <v>80578.024901017605</v>
          </cell>
          <cell r="AX13">
            <v>85532.19012960192</v>
          </cell>
          <cell r="AY13">
            <v>89761.144705129947</v>
          </cell>
          <cell r="BF13">
            <v>99526.259052551919</v>
          </cell>
        </row>
        <row r="17">
          <cell r="AT17">
            <v>0.15918153830321846</v>
          </cell>
          <cell r="AU17">
            <v>0.21697701430040461</v>
          </cell>
        </row>
        <row r="19">
          <cell r="BI19">
            <v>0.06</v>
          </cell>
        </row>
        <row r="25">
          <cell r="BI25">
            <v>0.11007147873450451</v>
          </cell>
        </row>
        <row r="26">
          <cell r="BI26" t="str">
            <v>Slightly undervalued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256.58999999999997</v>
          </cell>
          <cell r="E3">
            <v>45770</v>
          </cell>
          <cell r="G3">
            <v>45867</v>
          </cell>
        </row>
        <row r="5">
          <cell r="D5">
            <v>826476.3899999999</v>
          </cell>
        </row>
        <row r="8">
          <cell r="D8">
            <v>29467</v>
          </cell>
        </row>
        <row r="9">
          <cell r="D9">
            <v>797009.3899999999</v>
          </cell>
        </row>
      </sheetData>
      <sheetData sheetId="1">
        <row r="9">
          <cell r="AV9">
            <v>97690</v>
          </cell>
        </row>
        <row r="27">
          <cell r="AV27">
            <v>7091</v>
          </cell>
          <cell r="AW27">
            <v>4527.4714350000158</v>
          </cell>
          <cell r="AX27">
            <v>7975.9653982800055</v>
          </cell>
          <cell r="AY27">
            <v>8710.7820470256011</v>
          </cell>
          <cell r="AZ27">
            <v>9948.3296597538665</v>
          </cell>
          <cell r="BG27">
            <v>18952.308350571104</v>
          </cell>
        </row>
        <row r="31">
          <cell r="BJ31">
            <v>0.05</v>
          </cell>
        </row>
        <row r="36">
          <cell r="AU36">
            <v>0.18795266504627928</v>
          </cell>
          <cell r="AV36">
            <v>9.4757835346634955E-3</v>
          </cell>
        </row>
        <row r="37">
          <cell r="BJ37">
            <v>-0.62575831274388716</v>
          </cell>
        </row>
        <row r="38">
          <cell r="BJ38" t="str">
            <v>Heavily overvalued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  <sheetName val="Currency"/>
      <sheetName val="Currency2"/>
    </sheetNames>
    <sheetDataSet>
      <sheetData sheetId="0">
        <row r="3">
          <cell r="D3">
            <v>600</v>
          </cell>
          <cell r="E3">
            <v>44323</v>
          </cell>
          <cell r="G3">
            <v>44336</v>
          </cell>
        </row>
        <row r="5">
          <cell r="D5">
            <v>745508.97454445821</v>
          </cell>
        </row>
        <row r="8">
          <cell r="D8">
            <v>74585.688974904275</v>
          </cell>
        </row>
      </sheetData>
      <sheetData sheetId="1">
        <row r="45">
          <cell r="AI45">
            <v>-5.3794479220261815E-2</v>
          </cell>
        </row>
        <row r="46">
          <cell r="AI46" t="str">
            <v>Fairly valued</v>
          </cell>
        </row>
      </sheetData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334.1</v>
          </cell>
          <cell r="E3">
            <v>45751</v>
          </cell>
          <cell r="G3">
            <v>45776</v>
          </cell>
        </row>
        <row r="5">
          <cell r="D5">
            <v>620657.57000000007</v>
          </cell>
        </row>
        <row r="8">
          <cell r="D8">
            <v>-4518</v>
          </cell>
        </row>
        <row r="9">
          <cell r="D9">
            <v>625175.57000000007</v>
          </cell>
        </row>
      </sheetData>
      <sheetData sheetId="1">
        <row r="3">
          <cell r="Y3">
            <v>35926</v>
          </cell>
        </row>
        <row r="18">
          <cell r="Y18">
            <v>19743</v>
          </cell>
          <cell r="Z18">
            <v>20965.943490000001</v>
          </cell>
          <cell r="AA18">
            <v>22808.922058560001</v>
          </cell>
          <cell r="AB18">
            <v>23968.045488447999</v>
          </cell>
          <cell r="AC18">
            <v>24681.266346551041</v>
          </cell>
          <cell r="AJ18">
            <v>28234.823411367186</v>
          </cell>
        </row>
        <row r="22">
          <cell r="X22">
            <v>0.11405663596042315</v>
          </cell>
          <cell r="Y22">
            <v>0.10023581294214923</v>
          </cell>
        </row>
        <row r="24">
          <cell r="AN24">
            <v>0.06</v>
          </cell>
        </row>
        <row r="30">
          <cell r="AN30">
            <v>-0.35091503803599566</v>
          </cell>
        </row>
        <row r="31">
          <cell r="AN31" t="str">
            <v>Overvalued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SNAP.xlsx" TargetMode="External"/><Relationship Id="rId18" Type="http://schemas.openxmlformats.org/officeDocument/2006/relationships/hyperlink" Target="RBLX.xlsx" TargetMode="External"/><Relationship Id="rId26" Type="http://schemas.openxmlformats.org/officeDocument/2006/relationships/hyperlink" Target="LOGI.xlsx" TargetMode="External"/><Relationship Id="rId39" Type="http://schemas.openxmlformats.org/officeDocument/2006/relationships/hyperlink" Target="FCEL.xlsx" TargetMode="External"/><Relationship Id="rId21" Type="http://schemas.openxmlformats.org/officeDocument/2006/relationships/hyperlink" Target="ZM.xlsx" TargetMode="External"/><Relationship Id="rId34" Type="http://schemas.openxmlformats.org/officeDocument/2006/relationships/hyperlink" Target="WISE.xlsx" TargetMode="External"/><Relationship Id="rId42" Type="http://schemas.openxmlformats.org/officeDocument/2006/relationships/hyperlink" Target="CHGG.xlsx" TargetMode="External"/><Relationship Id="rId47" Type="http://schemas.openxmlformats.org/officeDocument/2006/relationships/hyperlink" Target="KOSS.xlsx" TargetMode="External"/><Relationship Id="rId50" Type="http://schemas.openxmlformats.org/officeDocument/2006/relationships/hyperlink" Target="AMD.xlsx" TargetMode="External"/><Relationship Id="rId55" Type="http://schemas.openxmlformats.org/officeDocument/2006/relationships/hyperlink" Target="DUOL.xlsx" TargetMode="External"/><Relationship Id="rId7" Type="http://schemas.openxmlformats.org/officeDocument/2006/relationships/hyperlink" Target="ADBE.xlsx" TargetMode="External"/><Relationship Id="rId12" Type="http://schemas.openxmlformats.org/officeDocument/2006/relationships/hyperlink" Target="NFLX.xlsx" TargetMode="External"/><Relationship Id="rId17" Type="http://schemas.openxmlformats.org/officeDocument/2006/relationships/hyperlink" Target="PLTR.xlsx" TargetMode="External"/><Relationship Id="rId25" Type="http://schemas.openxmlformats.org/officeDocument/2006/relationships/hyperlink" Target="SKLZ.xlsx" TargetMode="External"/><Relationship Id="rId33" Type="http://schemas.openxmlformats.org/officeDocument/2006/relationships/hyperlink" Target="MA.xlsx" TargetMode="External"/><Relationship Id="rId38" Type="http://schemas.openxmlformats.org/officeDocument/2006/relationships/hyperlink" Target="SOFI.xlsx" TargetMode="External"/><Relationship Id="rId46" Type="http://schemas.openxmlformats.org/officeDocument/2006/relationships/hyperlink" Target="ARQQ.xlsx" TargetMode="External"/><Relationship Id="rId2" Type="http://schemas.openxmlformats.org/officeDocument/2006/relationships/hyperlink" Target="MSFT.xlsx" TargetMode="External"/><Relationship Id="rId16" Type="http://schemas.openxmlformats.org/officeDocument/2006/relationships/hyperlink" Target="SONO.xlsx" TargetMode="External"/><Relationship Id="rId20" Type="http://schemas.openxmlformats.org/officeDocument/2006/relationships/hyperlink" Target="SNOW.xlsx" TargetMode="External"/><Relationship Id="rId29" Type="http://schemas.openxmlformats.org/officeDocument/2006/relationships/hyperlink" Target="NVDA.xlsx" TargetMode="External"/><Relationship Id="rId41" Type="http://schemas.openxmlformats.org/officeDocument/2006/relationships/hyperlink" Target="OPRA.xlsx" TargetMode="External"/><Relationship Id="rId54" Type="http://schemas.openxmlformats.org/officeDocument/2006/relationships/hyperlink" Target="GAMB.xlsx" TargetMode="External"/><Relationship Id="rId1" Type="http://schemas.openxmlformats.org/officeDocument/2006/relationships/hyperlink" Target="AAPL.xlsx" TargetMode="External"/><Relationship Id="rId6" Type="http://schemas.openxmlformats.org/officeDocument/2006/relationships/hyperlink" Target="005930.xlsx" TargetMode="External"/><Relationship Id="rId11" Type="http://schemas.openxmlformats.org/officeDocument/2006/relationships/hyperlink" Target="INSG.xlsx" TargetMode="External"/><Relationship Id="rId24" Type="http://schemas.openxmlformats.org/officeDocument/2006/relationships/hyperlink" Target="AMZN.xlsx" TargetMode="External"/><Relationship Id="rId32" Type="http://schemas.openxmlformats.org/officeDocument/2006/relationships/hyperlink" Target="V.xlsx" TargetMode="External"/><Relationship Id="rId37" Type="http://schemas.openxmlformats.org/officeDocument/2006/relationships/hyperlink" Target="STNE.xlsx" TargetMode="External"/><Relationship Id="rId40" Type="http://schemas.openxmlformats.org/officeDocument/2006/relationships/hyperlink" Target="AXP.xlsx" TargetMode="External"/><Relationship Id="rId45" Type="http://schemas.openxmlformats.org/officeDocument/2006/relationships/hyperlink" Target="XRX.xlsx" TargetMode="External"/><Relationship Id="rId53" Type="http://schemas.openxmlformats.org/officeDocument/2006/relationships/hyperlink" Target="NVMI.xlsx" TargetMode="External"/><Relationship Id="rId58" Type="http://schemas.openxmlformats.org/officeDocument/2006/relationships/printerSettings" Target="../printerSettings/printerSettings1.bin"/><Relationship Id="rId5" Type="http://schemas.openxmlformats.org/officeDocument/2006/relationships/hyperlink" Target="0700.xlsx" TargetMode="External"/><Relationship Id="rId15" Type="http://schemas.openxmlformats.org/officeDocument/2006/relationships/hyperlink" Target="ROKU.xlsx" TargetMode="External"/><Relationship Id="rId23" Type="http://schemas.openxmlformats.org/officeDocument/2006/relationships/hyperlink" Target="COIN.xlsx" TargetMode="External"/><Relationship Id="rId28" Type="http://schemas.openxmlformats.org/officeDocument/2006/relationships/hyperlink" Target="RDZN.xlsx" TargetMode="External"/><Relationship Id="rId36" Type="http://schemas.openxmlformats.org/officeDocument/2006/relationships/hyperlink" Target="SPOT.xlsx" TargetMode="External"/><Relationship Id="rId49" Type="http://schemas.openxmlformats.org/officeDocument/2006/relationships/hyperlink" Target="MLGO.xlsx" TargetMode="External"/><Relationship Id="rId57" Type="http://schemas.openxmlformats.org/officeDocument/2006/relationships/hyperlink" Target="FI.xlsx" TargetMode="External"/><Relationship Id="rId10" Type="http://schemas.openxmlformats.org/officeDocument/2006/relationships/hyperlink" Target="EPAM.xlsx" TargetMode="External"/><Relationship Id="rId19" Type="http://schemas.openxmlformats.org/officeDocument/2006/relationships/hyperlink" Target="ATAR.xlsx" TargetMode="External"/><Relationship Id="rId31" Type="http://schemas.openxmlformats.org/officeDocument/2006/relationships/hyperlink" Target="GPN.xlsx" TargetMode="External"/><Relationship Id="rId44" Type="http://schemas.openxmlformats.org/officeDocument/2006/relationships/hyperlink" Target="PAGS.xlsx" TargetMode="External"/><Relationship Id="rId52" Type="http://schemas.openxmlformats.org/officeDocument/2006/relationships/hyperlink" Target="SYM.xlsx" TargetMode="External"/><Relationship Id="rId4" Type="http://schemas.openxmlformats.org/officeDocument/2006/relationships/hyperlink" Target="GOOG.xlsx" TargetMode="External"/><Relationship Id="rId9" Type="http://schemas.openxmlformats.org/officeDocument/2006/relationships/hyperlink" Target="GME.xlsx" TargetMode="External"/><Relationship Id="rId14" Type="http://schemas.openxmlformats.org/officeDocument/2006/relationships/hyperlink" Target="TSLA.xlsx" TargetMode="External"/><Relationship Id="rId22" Type="http://schemas.openxmlformats.org/officeDocument/2006/relationships/hyperlink" Target="CRSR.xlsx" TargetMode="External"/><Relationship Id="rId27" Type="http://schemas.openxmlformats.org/officeDocument/2006/relationships/hyperlink" Target="PSFE.xlsx" TargetMode="External"/><Relationship Id="rId30" Type="http://schemas.openxmlformats.org/officeDocument/2006/relationships/hyperlink" Target="PYPL.xlsx" TargetMode="External"/><Relationship Id="rId35" Type="http://schemas.openxmlformats.org/officeDocument/2006/relationships/hyperlink" Target="RDDT.xlsx" TargetMode="External"/><Relationship Id="rId43" Type="http://schemas.openxmlformats.org/officeDocument/2006/relationships/hyperlink" Target="PLUG.xlsx" TargetMode="External"/><Relationship Id="rId48" Type="http://schemas.openxmlformats.org/officeDocument/2006/relationships/hyperlink" Target="INTC.xlsx" TargetMode="External"/><Relationship Id="rId56" Type="http://schemas.openxmlformats.org/officeDocument/2006/relationships/hyperlink" Target="XYZ.xlsx" TargetMode="External"/><Relationship Id="rId8" Type="http://schemas.openxmlformats.org/officeDocument/2006/relationships/hyperlink" Target="CRM.xlsx" TargetMode="External"/><Relationship Id="rId51" Type="http://schemas.openxmlformats.org/officeDocument/2006/relationships/hyperlink" Target="IONQ.xlsx" TargetMode="External"/><Relationship Id="rId3" Type="http://schemas.openxmlformats.org/officeDocument/2006/relationships/hyperlink" Target="FB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152DE-9CAD-4B68-A904-3CD5A32D5038}">
  <sheetPr codeName="Sheet1"/>
  <dimension ref="B1:AE80"/>
  <sheetViews>
    <sheetView tabSelected="1" workbookViewId="0">
      <pane xSplit="2" ySplit="2" topLeftCell="L18" activePane="bottomRight" state="frozen"/>
      <selection pane="topRight" activeCell="C1" sqref="C1"/>
      <selection pane="bottomLeft" activeCell="A3" sqref="A3"/>
      <selection pane="bottomRight" activeCell="Y36" sqref="Y36"/>
    </sheetView>
  </sheetViews>
  <sheetFormatPr defaultRowHeight="14.4" x14ac:dyDescent="0.3"/>
  <cols>
    <col min="2" max="2" width="19.77734375" bestFit="1" customWidth="1"/>
    <col min="3" max="3" width="9.33203125" style="7" bestFit="1" customWidth="1"/>
    <col min="4" max="4" width="10.77734375" style="12" bestFit="1" customWidth="1"/>
    <col min="5" max="7" width="8.88671875" style="8"/>
    <col min="8" max="18" width="8.88671875" style="7"/>
    <col min="19" max="19" width="8.88671875" style="10"/>
    <col min="20" max="23" width="10" style="7" customWidth="1"/>
    <col min="24" max="25" width="8.88671875" style="7"/>
    <col min="26" max="26" width="18.44140625" style="7" bestFit="1" customWidth="1"/>
    <col min="27" max="27" width="18.77734375" style="7" bestFit="1" customWidth="1"/>
    <col min="28" max="28" width="8.88671875" style="7"/>
    <col min="30" max="30" width="11.77734375" style="7" bestFit="1" customWidth="1"/>
    <col min="31" max="31" width="12.44140625" style="7" bestFit="1" customWidth="1"/>
  </cols>
  <sheetData>
    <row r="1" spans="2:31" x14ac:dyDescent="0.3">
      <c r="D1" s="7"/>
      <c r="AD1"/>
      <c r="AE1"/>
    </row>
    <row r="2" spans="2:31" x14ac:dyDescent="0.3">
      <c r="B2" s="1" t="s">
        <v>0</v>
      </c>
      <c r="C2" s="2" t="s">
        <v>1</v>
      </c>
      <c r="D2" s="2" t="s">
        <v>2</v>
      </c>
      <c r="E2" s="16" t="s">
        <v>3</v>
      </c>
      <c r="F2" s="16" t="s">
        <v>4</v>
      </c>
      <c r="G2" s="16" t="s">
        <v>5</v>
      </c>
      <c r="H2" s="2" t="s">
        <v>6</v>
      </c>
      <c r="I2" s="2" t="s">
        <v>56</v>
      </c>
      <c r="J2" s="2" t="s">
        <v>123</v>
      </c>
      <c r="K2" s="2" t="s">
        <v>124</v>
      </c>
      <c r="L2" s="2" t="s">
        <v>125</v>
      </c>
      <c r="M2" s="2" t="s">
        <v>7</v>
      </c>
      <c r="N2" s="2" t="s">
        <v>8</v>
      </c>
      <c r="O2" s="2" t="s">
        <v>127</v>
      </c>
      <c r="P2" s="2" t="s">
        <v>128</v>
      </c>
      <c r="Q2" s="2" t="s">
        <v>129</v>
      </c>
      <c r="R2" s="2" t="s">
        <v>166</v>
      </c>
      <c r="S2" s="26" t="s">
        <v>178</v>
      </c>
      <c r="T2" s="2" t="s">
        <v>126</v>
      </c>
      <c r="U2" s="2" t="s">
        <v>179</v>
      </c>
      <c r="V2" s="2" t="s">
        <v>180</v>
      </c>
      <c r="W2" s="2" t="s">
        <v>181</v>
      </c>
      <c r="X2" s="2" t="s">
        <v>9</v>
      </c>
      <c r="Y2" s="2" t="s">
        <v>58</v>
      </c>
      <c r="Z2" s="2" t="s">
        <v>57</v>
      </c>
      <c r="AA2" s="2" t="s">
        <v>10</v>
      </c>
      <c r="AB2" s="2" t="s">
        <v>51</v>
      </c>
      <c r="AC2" s="2"/>
      <c r="AD2" s="2" t="s">
        <v>78</v>
      </c>
      <c r="AE2" s="2" t="s">
        <v>81</v>
      </c>
    </row>
    <row r="3" spans="2:31" x14ac:dyDescent="0.3">
      <c r="B3" s="3" t="s">
        <v>11</v>
      </c>
      <c r="C3" s="2"/>
      <c r="D3" s="2"/>
      <c r="E3" s="16"/>
      <c r="F3" s="16"/>
      <c r="G3" s="16"/>
      <c r="H3" s="2"/>
      <c r="I3" s="2"/>
      <c r="J3" s="2"/>
      <c r="K3" s="2"/>
      <c r="L3" s="2"/>
      <c r="M3" s="4">
        <f t="shared" ref="M3:R3" si="0">TRIMMEAN(M4:M1048576,80%)</f>
        <v>22.232510933845937</v>
      </c>
      <c r="N3" s="4">
        <f t="shared" si="0"/>
        <v>23.676161872684311</v>
      </c>
      <c r="O3" s="4">
        <f t="shared" si="0"/>
        <v>18.693774023767013</v>
      </c>
      <c r="P3" s="4">
        <f t="shared" si="0"/>
        <v>16.768541115500412</v>
      </c>
      <c r="Q3" s="4">
        <f t="shared" si="0"/>
        <v>15.34063896753098</v>
      </c>
      <c r="R3" s="4">
        <f t="shared" si="0"/>
        <v>12.742239298469389</v>
      </c>
      <c r="S3" s="23"/>
      <c r="T3" s="5">
        <f t="shared" ref="T3:Y3" si="1">TRIMMEAN(T4:T1048576,80%)</f>
        <v>0.11593112622452993</v>
      </c>
      <c r="U3" s="5">
        <f t="shared" si="1"/>
        <v>0.12494001369767301</v>
      </c>
      <c r="V3" s="5">
        <f t="shared" si="1"/>
        <v>0.69309596416231212</v>
      </c>
      <c r="W3" s="5">
        <f t="shared" si="1"/>
        <v>0.1829920236674194</v>
      </c>
      <c r="X3" s="5">
        <f t="shared" si="1"/>
        <v>7.9999999999999988E-2</v>
      </c>
      <c r="Y3" s="5">
        <f t="shared" si="1"/>
        <v>-0.10677868464902869</v>
      </c>
      <c r="Z3" s="14" t="e">
        <f>INDEX(Z4:Z60,MODE(MATCH(Z4:Z60,Z4:Z60,0)))</f>
        <v>#N/A</v>
      </c>
      <c r="AA3" s="2"/>
      <c r="AD3"/>
      <c r="AE3"/>
    </row>
    <row r="4" spans="2:31" x14ac:dyDescent="0.3">
      <c r="B4" s="6" t="s">
        <v>12</v>
      </c>
      <c r="C4" s="7" t="s">
        <v>13</v>
      </c>
      <c r="D4" s="12">
        <f>[1]Main!$D$3</f>
        <v>183.75</v>
      </c>
      <c r="E4" s="8">
        <f>[1]Main!$D$5</f>
        <v>2760310.875</v>
      </c>
      <c r="F4" s="8">
        <f>[1]Main!$D$8</f>
        <v>44569</v>
      </c>
      <c r="G4" s="8">
        <f t="shared" ref="G4:G9" si="2">E4-F4</f>
        <v>2715741.875</v>
      </c>
      <c r="H4" s="8">
        <f>[1]Model!BC17</f>
        <v>93736</v>
      </c>
      <c r="I4" s="8">
        <f>[1]Model!BD17</f>
        <v>111865.525968</v>
      </c>
      <c r="J4" s="8">
        <f>[1]Model!BE17</f>
        <v>117035.70172405441</v>
      </c>
      <c r="K4" s="8">
        <f>[1]Model!BF17</f>
        <v>121596.57000020859</v>
      </c>
      <c r="L4" s="8">
        <f>[1]Model!BG17</f>
        <v>125976.67287998067</v>
      </c>
      <c r="M4" s="9">
        <f t="shared" ref="M4:Q10" si="3">$G4/H4</f>
        <v>28.972239854484936</v>
      </c>
      <c r="N4" s="9">
        <f t="shared" si="3"/>
        <v>24.276843571779736</v>
      </c>
      <c r="O4" s="9">
        <f t="shared" si="3"/>
        <v>23.20438836179364</v>
      </c>
      <c r="P4" s="9">
        <f t="shared" si="3"/>
        <v>22.334033558638549</v>
      </c>
      <c r="Q4" s="9">
        <f t="shared" si="3"/>
        <v>21.557498010661995</v>
      </c>
      <c r="R4" s="9">
        <f>G4/[1]Model!$BN$17</f>
        <v>18.266834278512885</v>
      </c>
      <c r="S4" s="10">
        <f>[1]Model!$BC$5</f>
        <v>391035</v>
      </c>
      <c r="T4" s="11">
        <f>[1]Model!BB$30</f>
        <v>-2.800460530319937E-2</v>
      </c>
      <c r="U4" s="11">
        <f>[1]Model!BC$30</f>
        <v>2.021994077514111E-2</v>
      </c>
      <c r="V4" s="11"/>
      <c r="W4" s="11"/>
      <c r="X4" s="11">
        <f>[1]Model!$BQ$30</f>
        <v>0.05</v>
      </c>
      <c r="Y4" s="11">
        <f>[1]Model!$BQ$36</f>
        <v>-1.8371852205646189E-2</v>
      </c>
      <c r="Z4" s="11" t="str">
        <f>[1]Model!$BQ$37</f>
        <v>Fairly valued</v>
      </c>
      <c r="AA4" s="8" t="s">
        <v>52</v>
      </c>
      <c r="AB4" s="7">
        <v>1976</v>
      </c>
      <c r="AD4" s="17">
        <f>[1]Main!$E$3</f>
        <v>45755</v>
      </c>
      <c r="AE4" s="17">
        <f>[1]Main!$G$3</f>
        <v>45771</v>
      </c>
    </row>
    <row r="5" spans="2:31" x14ac:dyDescent="0.3">
      <c r="B5" s="6" t="s">
        <v>19</v>
      </c>
      <c r="C5" s="7" t="s">
        <v>30</v>
      </c>
      <c r="D5" s="12">
        <f>[2]Main!$D$3</f>
        <v>100.63</v>
      </c>
      <c r="E5" s="8">
        <f>[2]Main!$D$5</f>
        <v>2464328.0699999998</v>
      </c>
      <c r="F5" s="8">
        <f>[2]Main!$D$8</f>
        <v>34747</v>
      </c>
      <c r="G5" s="8">
        <f t="shared" si="2"/>
        <v>2429581.0699999998</v>
      </c>
      <c r="H5" s="8">
        <f>[2]Model!X$14</f>
        <v>72880</v>
      </c>
      <c r="I5" s="8">
        <f>[2]Model!Y$14</f>
        <v>104531.63087999998</v>
      </c>
      <c r="J5" s="8">
        <f>[2]Model!Z$14</f>
        <v>138376.62797079998</v>
      </c>
      <c r="K5" s="8">
        <f>[2]Model!AA$14</f>
        <v>154262.79080951604</v>
      </c>
      <c r="L5" s="8">
        <f>[2]Model!AB$14</f>
        <v>166521.33564958585</v>
      </c>
      <c r="M5" s="9">
        <f t="shared" si="3"/>
        <v>33.336732574094398</v>
      </c>
      <c r="N5" s="9">
        <f t="shared" si="3"/>
        <v>23.242544381509799</v>
      </c>
      <c r="O5" s="9">
        <f t="shared" si="3"/>
        <v>17.557741546590414</v>
      </c>
      <c r="P5" s="9">
        <f t="shared" si="3"/>
        <v>15.749624762072733</v>
      </c>
      <c r="Q5" s="9">
        <f t="shared" si="3"/>
        <v>14.590208879375167</v>
      </c>
      <c r="R5" s="9">
        <f>G5/[2]Model!$AE$14</f>
        <v>12.959469098162245</v>
      </c>
      <c r="S5" s="10">
        <f>[2]Model!$Y$3</f>
        <v>198750.4</v>
      </c>
      <c r="T5" s="11">
        <f>[2]Model!W$18</f>
        <v>1.2585452658115224</v>
      </c>
      <c r="U5" s="11">
        <f>[2]Model!X$18</f>
        <v>1.1420340763599355</v>
      </c>
      <c r="V5" s="11">
        <f>[2]Model!$X$19</f>
        <v>0.74989463359310937</v>
      </c>
      <c r="W5" s="11">
        <f>[2]Model!$X$22</f>
        <v>0.62418293140838488</v>
      </c>
      <c r="X5" s="11">
        <f>[2]Model!$AL$20</f>
        <v>0.05</v>
      </c>
      <c r="Y5" s="11">
        <f>[2]Model!$AL$26</f>
        <v>0.37440044199781752</v>
      </c>
      <c r="Z5" s="7" t="str">
        <f>[2]Model!$AL$27</f>
        <v>Undervalued</v>
      </c>
      <c r="AA5" s="7" t="s">
        <v>65</v>
      </c>
      <c r="AB5" s="7">
        <v>1993</v>
      </c>
      <c r="AD5" s="17">
        <f>[2]Main!$E$3</f>
        <v>45755</v>
      </c>
      <c r="AE5" s="17">
        <f>[2]Main!$G$3</f>
        <v>45804</v>
      </c>
    </row>
    <row r="6" spans="2:31" x14ac:dyDescent="0.3">
      <c r="B6" s="6" t="s">
        <v>14</v>
      </c>
      <c r="C6" s="7" t="s">
        <v>26</v>
      </c>
      <c r="D6" s="12">
        <f>[3]Main!$D$3</f>
        <v>360.79</v>
      </c>
      <c r="E6" s="8">
        <f>[3]Main!$D$5</f>
        <v>2682112.8600000003</v>
      </c>
      <c r="F6" s="8">
        <f>[3]Main!$D$8</f>
        <v>42166</v>
      </c>
      <c r="G6" s="8">
        <f t="shared" si="2"/>
        <v>2639946.8600000003</v>
      </c>
      <c r="H6" s="8">
        <f>[3]Model!AU17</f>
        <v>88488</v>
      </c>
      <c r="I6" s="8">
        <f>[3]Model!AV17</f>
        <v>101152.82631099995</v>
      </c>
      <c r="J6" s="8">
        <f>[3]Model!AW17</f>
        <v>117737.47990989001</v>
      </c>
      <c r="K6" s="8">
        <f>[3]Model!AX17</f>
        <v>127720.2824728074</v>
      </c>
      <c r="L6" s="8">
        <f>[3]Model!AY17</f>
        <v>135662.49833809285</v>
      </c>
      <c r="M6" s="9">
        <f t="shared" si="3"/>
        <v>29.833953304402861</v>
      </c>
      <c r="N6" s="9">
        <f t="shared" si="3"/>
        <v>26.098597105762895</v>
      </c>
      <c r="O6" s="9">
        <f t="shared" si="3"/>
        <v>22.422314984323386</v>
      </c>
      <c r="P6" s="9">
        <f t="shared" si="3"/>
        <v>20.669754316915675</v>
      </c>
      <c r="Q6" s="9">
        <f t="shared" si="3"/>
        <v>19.459665658086486</v>
      </c>
      <c r="R6" s="9">
        <f>G6/[3]Model!$BF$17</f>
        <v>15.746652808808893</v>
      </c>
      <c r="S6" s="10">
        <f>[3]Model!$AU$5</f>
        <v>239781</v>
      </c>
      <c r="T6" s="11">
        <f>[3]Model!AT$23</f>
        <v>6.8820295556564215E-2</v>
      </c>
      <c r="U6" s="11">
        <f>[3]Model!AU$23</f>
        <v>0.13149611872684797</v>
      </c>
      <c r="V6" s="11"/>
      <c r="W6" s="11"/>
      <c r="X6" s="11">
        <f>[3]Model!$BI$22</f>
        <v>0.05</v>
      </c>
      <c r="Y6" s="11">
        <f>[3]Model!$BI$28</f>
        <v>5.3517905418773992E-2</v>
      </c>
      <c r="Z6" s="11" t="str">
        <f>[3]Model!$BI$29</f>
        <v>Fairly valued</v>
      </c>
      <c r="AA6" s="7" t="s">
        <v>53</v>
      </c>
      <c r="AB6" s="7">
        <v>1975</v>
      </c>
      <c r="AD6" s="17">
        <f>[3]Main!$E$3</f>
        <v>45755</v>
      </c>
      <c r="AE6" s="17">
        <f>[3]Main!$G$3</f>
        <v>45776</v>
      </c>
    </row>
    <row r="7" spans="2:31" x14ac:dyDescent="0.3">
      <c r="B7" s="29" t="s">
        <v>15</v>
      </c>
      <c r="C7" s="7" t="s">
        <v>27</v>
      </c>
      <c r="D7" s="12">
        <f>[4]Main!$D$3</f>
        <v>166.7</v>
      </c>
      <c r="E7" s="8">
        <f>[4]Main!$D$5</f>
        <v>2032072.9999999998</v>
      </c>
      <c r="F7" s="8">
        <f>[4]Main!$D$8</f>
        <v>122756</v>
      </c>
      <c r="G7" s="8">
        <f t="shared" si="2"/>
        <v>1909316.9999999998</v>
      </c>
      <c r="H7" s="8">
        <f>[4]Model!AU20</f>
        <v>100118</v>
      </c>
      <c r="I7" s="8">
        <f>[4]Model!AV20</f>
        <v>121680.94497999999</v>
      </c>
      <c r="J7" s="8">
        <f>[4]Model!AW20</f>
        <v>123004.61450550004</v>
      </c>
      <c r="K7" s="8">
        <f>[4]Model!AX20</f>
        <v>129980.58909355801</v>
      </c>
      <c r="L7" s="8">
        <f>[4]Model!AY20</f>
        <v>136266.60377430829</v>
      </c>
      <c r="M7" s="9">
        <f t="shared" si="3"/>
        <v>19.070666613396192</v>
      </c>
      <c r="N7" s="9">
        <f t="shared" si="3"/>
        <v>15.691174984824645</v>
      </c>
      <c r="O7" s="9">
        <f t="shared" si="3"/>
        <v>15.522320098931138</v>
      </c>
      <c r="P7" s="9">
        <f t="shared" si="3"/>
        <v>14.689247166172658</v>
      </c>
      <c r="Q7" s="9">
        <f t="shared" si="3"/>
        <v>14.011628286871435</v>
      </c>
      <c r="R7" s="9">
        <f>G7/[4]Model!$BF$20</f>
        <v>12.14088799396951</v>
      </c>
      <c r="S7" s="10">
        <f>[4]Model!$AU$10</f>
        <v>350018</v>
      </c>
      <c r="T7" s="11">
        <f>[4]Model!AT$30</f>
        <v>8.6827702272695095E-2</v>
      </c>
      <c r="U7" s="11">
        <f>[4]Model!AU$30</f>
        <v>0.13866243322901561</v>
      </c>
      <c r="V7" s="11"/>
      <c r="W7" s="11"/>
      <c r="X7" s="11">
        <f>[4]Model!$BI$33</f>
        <v>0.06</v>
      </c>
      <c r="Y7" s="11">
        <f>[4]Model!$BI$39</f>
        <v>0.17985662830320859</v>
      </c>
      <c r="Z7" s="11" t="str">
        <f>[4]Model!$BI$40</f>
        <v>Slightly undervalued</v>
      </c>
      <c r="AA7" s="7" t="s">
        <v>54</v>
      </c>
      <c r="AB7" s="7">
        <v>1998</v>
      </c>
      <c r="AD7" s="17">
        <f>[4]Main!$E$3</f>
        <v>45771</v>
      </c>
      <c r="AE7" s="17">
        <f>[4]Main!$G$3</f>
        <v>45862</v>
      </c>
    </row>
    <row r="8" spans="2:31" x14ac:dyDescent="0.3">
      <c r="B8" s="6" t="s">
        <v>95</v>
      </c>
      <c r="C8" s="7" t="s">
        <v>96</v>
      </c>
      <c r="D8" s="12">
        <f>[5]Main!$D$3</f>
        <v>179.8</v>
      </c>
      <c r="E8" s="8">
        <f>[5]Main!$D$5</f>
        <v>1897249.6</v>
      </c>
      <c r="F8" s="8">
        <f>[5]Main!$D$8</f>
        <v>48579</v>
      </c>
      <c r="G8" s="8">
        <f t="shared" si="2"/>
        <v>1848670.6</v>
      </c>
      <c r="H8" s="8">
        <f>[5]Model!AX21</f>
        <v>59248</v>
      </c>
      <c r="I8" s="8">
        <f>[5]Model!AY21</f>
        <v>68538.312910000066</v>
      </c>
      <c r="J8" s="8">
        <f>[5]Model!AZ21</f>
        <v>88366.472454824994</v>
      </c>
      <c r="K8" s="8">
        <f>[5]Model!BA21</f>
        <v>97453.956771787256</v>
      </c>
      <c r="L8" s="8">
        <f>[5]Model!BB21</f>
        <v>105030.7812352725</v>
      </c>
      <c r="M8" s="9">
        <f t="shared" si="3"/>
        <v>31.20224480151229</v>
      </c>
      <c r="N8" s="9">
        <f t="shared" si="3"/>
        <v>26.972805741914758</v>
      </c>
      <c r="O8" s="9">
        <f t="shared" si="3"/>
        <v>20.920497883912745</v>
      </c>
      <c r="P8" s="9">
        <f t="shared" si="3"/>
        <v>18.96968231191601</v>
      </c>
      <c r="Q8" s="9">
        <f t="shared" si="3"/>
        <v>17.60122678568786</v>
      </c>
      <c r="R8" s="9">
        <f>G8/[5]Model!$BI$21</f>
        <v>15.0071969442519</v>
      </c>
      <c r="S8" s="10">
        <f>[5]Model!$AX$5</f>
        <v>637959</v>
      </c>
      <c r="T8" s="11">
        <f>[5]Model!AW$27</f>
        <v>0.1182957412988368</v>
      </c>
      <c r="U8" s="11">
        <f>[5]Model!AX$27</f>
        <v>0.1099089224666614</v>
      </c>
      <c r="V8" s="11"/>
      <c r="W8" s="11"/>
      <c r="X8" s="11">
        <f>[5]Model!$BL$30</f>
        <v>0.05</v>
      </c>
      <c r="Y8" s="11">
        <f>[5]Model!$BL$36</f>
        <v>8.8029229814509335E-2</v>
      </c>
      <c r="Z8" s="7" t="str">
        <f>[5]Model!$BL$37</f>
        <v>Fairly valued</v>
      </c>
      <c r="AA8" s="7" t="s">
        <v>97</v>
      </c>
      <c r="AB8" s="7">
        <v>1994</v>
      </c>
      <c r="AD8" s="17">
        <f>[5]Main!$E$3</f>
        <v>45755</v>
      </c>
      <c r="AE8" s="17">
        <f>[5]Main!$G$3</f>
        <v>45771</v>
      </c>
    </row>
    <row r="9" spans="2:31" x14ac:dyDescent="0.3">
      <c r="B9" s="6" t="s">
        <v>16</v>
      </c>
      <c r="C9" s="7" t="s">
        <v>108</v>
      </c>
      <c r="D9" s="12">
        <f>[6]Main!$D$3</f>
        <v>527</v>
      </c>
      <c r="E9" s="8">
        <f>[6]Main!$D$5</f>
        <v>1335259.9000000001</v>
      </c>
      <c r="F9" s="8">
        <f>[6]Main!$D$8</f>
        <v>55059</v>
      </c>
      <c r="G9" s="8">
        <f t="shared" si="2"/>
        <v>1280200.9000000001</v>
      </c>
      <c r="H9" s="8">
        <f>[6]Model!AU13</f>
        <v>60810</v>
      </c>
      <c r="I9" s="8">
        <f>[6]Model!AV13</f>
        <v>73128.653576000012</v>
      </c>
      <c r="J9" s="8">
        <f>[6]Model!AW13</f>
        <v>80578.024901017605</v>
      </c>
      <c r="K9" s="8">
        <f>[6]Model!AX13</f>
        <v>85532.19012960192</v>
      </c>
      <c r="L9" s="8">
        <f>[6]Model!AY13</f>
        <v>89761.144705129947</v>
      </c>
      <c r="M9" s="9">
        <f t="shared" si="3"/>
        <v>21.05247327742148</v>
      </c>
      <c r="N9" s="9">
        <f t="shared" si="3"/>
        <v>17.506146187547852</v>
      </c>
      <c r="O9" s="9">
        <f t="shared" si="3"/>
        <v>15.887717545479733</v>
      </c>
      <c r="P9" s="9">
        <f t="shared" si="3"/>
        <v>14.967474795865588</v>
      </c>
      <c r="Q9" s="9">
        <f t="shared" si="3"/>
        <v>14.262305858570844</v>
      </c>
      <c r="R9" s="9">
        <f>G9/[6]Model!$BF$13</f>
        <v>12.862946042451245</v>
      </c>
      <c r="S9" s="10">
        <f>[6]Model!$AU$3</f>
        <v>164500</v>
      </c>
      <c r="T9" s="11">
        <f>[6]Model!AT$17</f>
        <v>0.15918153830321846</v>
      </c>
      <c r="U9" s="11">
        <f>[6]Model!AU$17</f>
        <v>0.21697701430040461</v>
      </c>
      <c r="V9" s="11"/>
      <c r="W9" s="11"/>
      <c r="X9" s="11">
        <f>[6]Model!$BI$19</f>
        <v>0.06</v>
      </c>
      <c r="Y9" s="11">
        <f>[6]Model!$BI$25</f>
        <v>0.11007147873450451</v>
      </c>
      <c r="Z9" s="11" t="str">
        <f>[6]Model!$BI$26</f>
        <v>Slightly undervalued</v>
      </c>
      <c r="AA9" s="7" t="s">
        <v>54</v>
      </c>
      <c r="AB9" s="7">
        <v>2004</v>
      </c>
      <c r="AD9" s="17">
        <f>[6]Main!$E$3</f>
        <v>45751</v>
      </c>
      <c r="AE9" s="17">
        <f>[6]Main!$G$3</f>
        <v>45770</v>
      </c>
    </row>
    <row r="10" spans="2:31" x14ac:dyDescent="0.3">
      <c r="B10" s="27" t="s">
        <v>74</v>
      </c>
      <c r="C10" s="7" t="s">
        <v>75</v>
      </c>
      <c r="D10" s="12">
        <f>[7]Main!$D$3</f>
        <v>256.58999999999997</v>
      </c>
      <c r="E10" s="8">
        <f>[7]Main!$D$5</f>
        <v>826476.3899999999</v>
      </c>
      <c r="F10" s="8">
        <f>[7]Main!$D$8</f>
        <v>29467</v>
      </c>
      <c r="G10" s="8">
        <f>[7]Main!$D$9</f>
        <v>797009.3899999999</v>
      </c>
      <c r="H10" s="8">
        <f>[7]Model!AV27</f>
        <v>7091</v>
      </c>
      <c r="I10" s="8">
        <f>[7]Model!AW27</f>
        <v>4527.4714350000158</v>
      </c>
      <c r="J10" s="8">
        <f>[7]Model!AX27</f>
        <v>7975.9653982800055</v>
      </c>
      <c r="K10" s="8">
        <f>[7]Model!AY27</f>
        <v>8710.7820470256011</v>
      </c>
      <c r="L10" s="8">
        <f>[7]Model!AZ27</f>
        <v>9948.3296597538665</v>
      </c>
      <c r="M10" s="9">
        <f t="shared" si="3"/>
        <v>112.39731913693413</v>
      </c>
      <c r="N10" s="9">
        <f t="shared" si="3"/>
        <v>176.03852424968355</v>
      </c>
      <c r="O10" s="9">
        <f t="shared" si="3"/>
        <v>99.926385108424967</v>
      </c>
      <c r="P10" s="9">
        <f t="shared" si="3"/>
        <v>91.496881186706787</v>
      </c>
      <c r="Q10" s="9">
        <f t="shared" si="3"/>
        <v>80.114895390360317</v>
      </c>
      <c r="R10" s="9">
        <f>G10/[7]Model!$BG$27</f>
        <v>42.053420367444744</v>
      </c>
      <c r="S10" s="10">
        <f>[7]Model!$AV$9</f>
        <v>97690</v>
      </c>
      <c r="T10" s="11">
        <f>[7]Model!AU$36</f>
        <v>0.18795266504627928</v>
      </c>
      <c r="U10" s="11">
        <f>[7]Model!AV$36</f>
        <v>9.4757835346634955E-3</v>
      </c>
      <c r="V10" s="11"/>
      <c r="W10" s="11"/>
      <c r="X10" s="11">
        <f>[7]Model!$BJ$31</f>
        <v>0.05</v>
      </c>
      <c r="Y10" s="11">
        <f>[7]Model!$BJ$37</f>
        <v>-0.62575831274388716</v>
      </c>
      <c r="Z10" s="7" t="str">
        <f>[7]Model!$BJ$38</f>
        <v>Heavily overvalued</v>
      </c>
      <c r="AA10" s="7" t="s">
        <v>76</v>
      </c>
      <c r="AB10" s="7">
        <v>2003</v>
      </c>
      <c r="AD10" s="17">
        <f>[7]Main!$E$3</f>
        <v>45770</v>
      </c>
      <c r="AE10" s="17">
        <f>[7]Main!$G$3</f>
        <v>45867</v>
      </c>
    </row>
    <row r="11" spans="2:31" x14ac:dyDescent="0.3">
      <c r="B11" s="30" t="s">
        <v>17</v>
      </c>
      <c r="C11" s="7" t="s">
        <v>28</v>
      </c>
      <c r="D11" s="13">
        <f>[8]Main!$D$3</f>
        <v>600</v>
      </c>
      <c r="E11" s="8">
        <f>[8]Main!$D$5</f>
        <v>745508.97454445821</v>
      </c>
      <c r="F11" s="8">
        <f>[8]Main!$D$8</f>
        <v>74585.688974904275</v>
      </c>
      <c r="G11" s="8">
        <f>E11-F11</f>
        <v>670923.28556955396</v>
      </c>
      <c r="H11" s="8"/>
      <c r="I11" s="8"/>
      <c r="J11" s="8"/>
      <c r="K11" s="8"/>
      <c r="L11" s="8"/>
      <c r="M11" s="9"/>
      <c r="N11" s="9"/>
      <c r="O11" s="9"/>
      <c r="P11" s="9"/>
      <c r="Q11" s="9"/>
      <c r="R11" s="9"/>
      <c r="T11" s="11"/>
      <c r="U11" s="11"/>
      <c r="V11" s="11"/>
      <c r="W11" s="11"/>
      <c r="X11" s="11">
        <v>0.05</v>
      </c>
      <c r="Y11" s="11">
        <f>[8]Model!$AI$45</f>
        <v>-5.3794479220261815E-2</v>
      </c>
      <c r="Z11" s="11" t="str">
        <f>[8]Model!$AI$46</f>
        <v>Fairly valued</v>
      </c>
      <c r="AA11" s="7" t="s">
        <v>54</v>
      </c>
      <c r="AB11" s="7">
        <v>1998</v>
      </c>
      <c r="AD11" s="17">
        <f>[8]Main!$E$3</f>
        <v>44323</v>
      </c>
      <c r="AE11" s="17">
        <f>[8]Main!$G$3</f>
        <v>44336</v>
      </c>
    </row>
    <row r="12" spans="2:31" x14ac:dyDescent="0.3">
      <c r="B12" s="6" t="s">
        <v>114</v>
      </c>
      <c r="C12" s="7" t="s">
        <v>116</v>
      </c>
      <c r="D12" s="12">
        <f>[9]Main!$D$3</f>
        <v>334.1</v>
      </c>
      <c r="E12" s="8">
        <f>[9]Main!$D$5</f>
        <v>620657.57000000007</v>
      </c>
      <c r="F12" s="8">
        <f>[9]Main!$D$8</f>
        <v>-4518</v>
      </c>
      <c r="G12" s="8">
        <f>[9]Main!$D$9</f>
        <v>625175.57000000007</v>
      </c>
      <c r="H12" s="8">
        <f>[9]Model!Y18</f>
        <v>19743</v>
      </c>
      <c r="I12" s="8">
        <f>[9]Model!Z18</f>
        <v>20965.943490000001</v>
      </c>
      <c r="J12" s="8">
        <f>[9]Model!AA18</f>
        <v>22808.922058560001</v>
      </c>
      <c r="K12" s="8">
        <f>[9]Model!AB18</f>
        <v>23968.045488447999</v>
      </c>
      <c r="L12" s="8">
        <f>[9]Model!AC18</f>
        <v>24681.266346551041</v>
      </c>
      <c r="M12" s="9">
        <f t="shared" ref="M12:Q17" si="4">$G12/H12</f>
        <v>31.665682520386977</v>
      </c>
      <c r="N12" s="9">
        <f t="shared" si="4"/>
        <v>29.818623249565956</v>
      </c>
      <c r="O12" s="9">
        <f t="shared" si="4"/>
        <v>27.409255395538377</v>
      </c>
      <c r="P12" s="9">
        <f t="shared" si="4"/>
        <v>26.083710926755337</v>
      </c>
      <c r="Q12" s="9">
        <f t="shared" si="4"/>
        <v>25.329963269383139</v>
      </c>
      <c r="R12" s="9">
        <f>G12/[9]Model!$AJ$18</f>
        <v>22.1420038968017</v>
      </c>
      <c r="S12" s="10">
        <f>[9]Model!$Y$3</f>
        <v>35926</v>
      </c>
      <c r="T12" s="11">
        <f>[9]Model!X$22</f>
        <v>0.11405663596042315</v>
      </c>
      <c r="U12" s="11">
        <f>[9]Model!Y$22</f>
        <v>0.10023581294214923</v>
      </c>
      <c r="V12" s="11"/>
      <c r="W12" s="11"/>
      <c r="X12" s="11">
        <f>[9]Model!$AN$24</f>
        <v>0.06</v>
      </c>
      <c r="Y12" s="11">
        <f>[9]Model!$AN$30</f>
        <v>-0.35091503803599566</v>
      </c>
      <c r="Z12" s="7" t="str">
        <f>[9]Model!$AN$31</f>
        <v>Overvalued</v>
      </c>
      <c r="AA12" s="7" t="s">
        <v>94</v>
      </c>
      <c r="AB12" s="7">
        <v>1958</v>
      </c>
      <c r="AD12" s="17">
        <f>[9]Main!$E$3</f>
        <v>45751</v>
      </c>
      <c r="AE12" s="17">
        <f>[9]Main!$G$3</f>
        <v>45776</v>
      </c>
    </row>
    <row r="13" spans="2:31" x14ac:dyDescent="0.3">
      <c r="B13" s="6" t="s">
        <v>115</v>
      </c>
      <c r="C13" s="7" t="s">
        <v>117</v>
      </c>
      <c r="D13" s="12">
        <f>[10]Main!$D$3</f>
        <v>525</v>
      </c>
      <c r="E13" s="8">
        <f>[10]Main!$D$5</f>
        <v>478642.49999999994</v>
      </c>
      <c r="F13" s="8">
        <f>[10]Main!$D$8</f>
        <v>-8962</v>
      </c>
      <c r="G13" s="8">
        <f>[10]Main!$D$9</f>
        <v>487604.49999999994</v>
      </c>
      <c r="H13" s="8">
        <f>[10]Model!Y17</f>
        <v>12874</v>
      </c>
      <c r="I13" s="8">
        <f>[10]Model!Z17</f>
        <v>14369.14817</v>
      </c>
      <c r="J13" s="8">
        <f>[10]Model!AA17</f>
        <v>16841.553170400006</v>
      </c>
      <c r="K13" s="8">
        <f>[10]Model!AB17</f>
        <v>18211.010242992004</v>
      </c>
      <c r="L13" s="8">
        <f>[10]Model!AC17</f>
        <v>19319.803928769124</v>
      </c>
      <c r="M13" s="9">
        <f t="shared" si="4"/>
        <v>37.875135932887986</v>
      </c>
      <c r="N13" s="9">
        <f t="shared" si="4"/>
        <v>33.934127077763996</v>
      </c>
      <c r="O13" s="9">
        <f t="shared" si="4"/>
        <v>28.952466264037497</v>
      </c>
      <c r="P13" s="9">
        <f t="shared" si="4"/>
        <v>26.775258126475485</v>
      </c>
      <c r="Q13" s="9">
        <f t="shared" si="4"/>
        <v>25.238584294010767</v>
      </c>
      <c r="R13" s="9">
        <f>G13/[10]Model!$AJ$17</f>
        <v>19.882562157488522</v>
      </c>
      <c r="S13" s="10">
        <f>[10]Model!$Y$3</f>
        <v>28167</v>
      </c>
      <c r="T13" s="11">
        <f>[10]Model!X$21</f>
        <v>0.1286594414714215</v>
      </c>
      <c r="U13" s="11">
        <f>[10]Model!Y$21</f>
        <v>0.12228065981353087</v>
      </c>
      <c r="V13" s="11"/>
      <c r="W13" s="11"/>
      <c r="X13" s="11">
        <f>[10]Model!$AM$24</f>
        <v>0.06</v>
      </c>
      <c r="Y13" s="11">
        <f>[10]Model!$AM$30</f>
        <v>-0.30789247181110724</v>
      </c>
      <c r="Z13" s="7" t="str">
        <f>[10]Model!$AM$31</f>
        <v>Overvalued</v>
      </c>
      <c r="AA13" s="7" t="s">
        <v>94</v>
      </c>
      <c r="AB13" s="7">
        <v>1966</v>
      </c>
      <c r="AD13" s="17">
        <f>[10]Main!$F$3</f>
        <v>45751</v>
      </c>
      <c r="AE13" s="17">
        <f>[10]Main!$H$3</f>
        <v>45771</v>
      </c>
    </row>
    <row r="14" spans="2:31" x14ac:dyDescent="0.3">
      <c r="B14" s="6" t="s">
        <v>66</v>
      </c>
      <c r="C14" s="7" t="s">
        <v>68</v>
      </c>
      <c r="D14" s="12">
        <f>[11]Main!$D$3</f>
        <v>996.3</v>
      </c>
      <c r="E14" s="8">
        <f>[11]Main!$D$5</f>
        <v>424124.91</v>
      </c>
      <c r="F14" s="8">
        <f>[11]Main!$D$8</f>
        <v>-6646</v>
      </c>
      <c r="G14" s="8">
        <f>[11]Main!$D$9</f>
        <v>430770.91</v>
      </c>
      <c r="H14" s="8">
        <f>[11]Model!BM37</f>
        <v>2757.7</v>
      </c>
      <c r="I14" s="8">
        <f>[11]Model!BN37</f>
        <v>5117.0999999999976</v>
      </c>
      <c r="J14" s="8">
        <f>[11]Model!BO37</f>
        <v>4491.7999999999975</v>
      </c>
      <c r="K14" s="8">
        <f>[11]Model!BP37</f>
        <v>5408</v>
      </c>
      <c r="L14" s="8">
        <f>[11]Model!BQ37</f>
        <v>8711.3999999999924</v>
      </c>
      <c r="M14" s="9">
        <f t="shared" si="4"/>
        <v>156.20658882402003</v>
      </c>
      <c r="N14" s="9">
        <f t="shared" si="4"/>
        <v>84.182624924273554</v>
      </c>
      <c r="O14" s="9">
        <f t="shared" si="4"/>
        <v>95.901622957389066</v>
      </c>
      <c r="P14" s="9">
        <f t="shared" si="4"/>
        <v>79.654384245562127</v>
      </c>
      <c r="Q14" s="9">
        <f t="shared" si="4"/>
        <v>49.449102325688216</v>
      </c>
      <c r="R14" s="9">
        <f>G14/[11]Model!$BX$37</f>
        <v>26.484273856565483</v>
      </c>
      <c r="S14" s="10">
        <f>[11]Model!$BM$26</f>
        <v>24992</v>
      </c>
      <c r="T14" s="11">
        <f>[11]Model!BL$47</f>
        <v>0.27599656870505318</v>
      </c>
      <c r="U14" s="11">
        <f>[11]Model!BM$47</f>
        <v>0.24005160265952163</v>
      </c>
      <c r="V14" s="11"/>
      <c r="W14" s="11"/>
      <c r="X14" s="11">
        <f>[11]Model!$CE$47</f>
        <v>0.06</v>
      </c>
      <c r="Y14" s="11">
        <f>[11]Model!$CE$53</f>
        <v>-0.45650787239829793</v>
      </c>
      <c r="Z14" s="7" t="str">
        <f>[11]Model!$CE$54</f>
        <v>Overvalued</v>
      </c>
      <c r="AA14" s="7" t="s">
        <v>77</v>
      </c>
      <c r="AB14" s="7">
        <v>1997</v>
      </c>
      <c r="AD14" s="17">
        <f>[11]Main!$E$3</f>
        <v>45769</v>
      </c>
      <c r="AE14" s="17">
        <f>[11]Main!$G$3</f>
        <v>45854</v>
      </c>
    </row>
    <row r="15" spans="2:31" x14ac:dyDescent="0.3">
      <c r="B15" s="27" t="s">
        <v>185</v>
      </c>
      <c r="C15" s="7" t="s">
        <v>33</v>
      </c>
      <c r="D15" s="12">
        <f>[12]Main!$D$3</f>
        <v>253.63</v>
      </c>
      <c r="E15" s="8">
        <f>[12]Main!$D$5</f>
        <v>243738.43</v>
      </c>
      <c r="F15" s="8">
        <f>[12]Main!$D$8</f>
        <v>10451</v>
      </c>
      <c r="G15" s="8">
        <f>[12]Main!$D$9</f>
        <v>233287.43</v>
      </c>
      <c r="H15" s="8">
        <f>[12]Model!AY$20</f>
        <v>6197</v>
      </c>
      <c r="I15" s="8">
        <f>[12]Model!AZ$20</f>
        <v>6612.2560199999989</v>
      </c>
      <c r="J15" s="8">
        <f>[12]Model!BA$20</f>
        <v>7590.9995710000012</v>
      </c>
      <c r="K15" s="8">
        <f>[12]Model!BB$20</f>
        <v>8383.1774187200026</v>
      </c>
      <c r="L15" s="8">
        <f>[12]Model!BC$20</f>
        <v>8692.9387365576058</v>
      </c>
      <c r="M15" s="9">
        <f t="shared" si="4"/>
        <v>37.645220267871551</v>
      </c>
      <c r="N15" s="9">
        <f t="shared" si="4"/>
        <v>35.281064328782605</v>
      </c>
      <c r="O15" s="9">
        <f t="shared" si="4"/>
        <v>30.732109495991956</v>
      </c>
      <c r="P15" s="9">
        <f t="shared" si="4"/>
        <v>27.82804399189488</v>
      </c>
      <c r="Q15" s="9">
        <f t="shared" si="4"/>
        <v>26.836428631312494</v>
      </c>
      <c r="R15" s="9">
        <f>G15/[12]Model!$BJ$20</f>
        <v>21.906850822622594</v>
      </c>
      <c r="S15" s="10">
        <f>[12]Model!$AY$5</f>
        <v>37895</v>
      </c>
      <c r="T15" s="11">
        <f>[12]Model!AX$26</f>
        <v>0.11179510079101806</v>
      </c>
      <c r="U15" s="11">
        <f>[12]Model!AY$26</f>
        <v>8.7156094902028247E-2</v>
      </c>
      <c r="V15" s="11">
        <f>[12]Model!$AY$29</f>
        <v>0.77192241720543608</v>
      </c>
      <c r="W15" s="11">
        <f>[12]Model!$AY$30</f>
        <v>0.19013062409288825</v>
      </c>
      <c r="X15" s="11">
        <f>[12]Model!$BM$31</f>
        <v>0.06</v>
      </c>
      <c r="Y15" s="11">
        <f>[12]Model!$BM$37</f>
        <v>-0.42844692622181901</v>
      </c>
      <c r="Z15" s="7" t="str">
        <f>[12]Model!$BM$38</f>
        <v>Overvalued</v>
      </c>
      <c r="AA15" s="7" t="s">
        <v>53</v>
      </c>
      <c r="AB15" s="7">
        <v>1999</v>
      </c>
      <c r="AD15" s="17">
        <f>[12]Main!$E$3</f>
        <v>45751</v>
      </c>
      <c r="AE15" s="17">
        <f>[12]Main!$G$3</f>
        <v>45805</v>
      </c>
    </row>
    <row r="16" spans="2:31" x14ac:dyDescent="0.3">
      <c r="B16" s="6" t="s">
        <v>147</v>
      </c>
      <c r="C16" s="7" t="s">
        <v>148</v>
      </c>
      <c r="D16" s="12">
        <f>[13]Main!$D$3</f>
        <v>245.15</v>
      </c>
      <c r="E16" s="8">
        <f>[13]Main!$D$5</f>
        <v>171752.09</v>
      </c>
      <c r="F16" s="8">
        <f>[13]Main!$D$8</f>
        <v>-287</v>
      </c>
      <c r="G16" s="8">
        <f>[13]Main!$D$9</f>
        <v>172039.09</v>
      </c>
      <c r="H16" s="8">
        <f>[13]Model!Y27</f>
        <v>10129</v>
      </c>
      <c r="I16" s="8">
        <f>[13]Model!Z27</f>
        <v>10764.624985</v>
      </c>
      <c r="J16" s="8">
        <f>[13]Model!AA27</f>
        <v>12189.591693600003</v>
      </c>
      <c r="K16" s="8">
        <f>[13]Model!AB27</f>
        <v>12580.657822296</v>
      </c>
      <c r="L16" s="8">
        <f>[13]Model!AC27</f>
        <v>12874.44235747176</v>
      </c>
      <c r="M16" s="9">
        <f t="shared" si="4"/>
        <v>16.984805015302594</v>
      </c>
      <c r="N16" s="9">
        <f t="shared" si="4"/>
        <v>15.981893492781067</v>
      </c>
      <c r="O16" s="9">
        <f t="shared" si="4"/>
        <v>14.113605633757777</v>
      </c>
      <c r="P16" s="9">
        <f t="shared" si="4"/>
        <v>13.674888263402625</v>
      </c>
      <c r="Q16" s="9">
        <f t="shared" si="4"/>
        <v>13.362838189271637</v>
      </c>
      <c r="R16" s="9">
        <f>G16/[13]Model!$AJ$27</f>
        <v>12.193096190769147</v>
      </c>
      <c r="S16" s="10">
        <f>[13]Model!$Y$16</f>
        <v>74201</v>
      </c>
      <c r="T16" s="11">
        <f>[13]Model!X$38</f>
        <v>0.21103820224719105</v>
      </c>
      <c r="U16" s="11">
        <f>[13]Model!Y$38</f>
        <v>0.10149337925301349</v>
      </c>
      <c r="V16" s="11"/>
      <c r="W16" s="11"/>
      <c r="X16" s="11">
        <f>[13]Model!$AN$40</f>
        <v>0.06</v>
      </c>
      <c r="Y16" s="11">
        <f>[13]Model!$AN$46</f>
        <v>0.20252062275431082</v>
      </c>
      <c r="Z16" s="7" t="str">
        <f>[13]Model!$AN$47</f>
        <v>Slightly undervalued</v>
      </c>
      <c r="AA16" s="7" t="s">
        <v>94</v>
      </c>
      <c r="AB16" s="7">
        <v>1850</v>
      </c>
      <c r="AD16" s="17">
        <f>[13]Main!$F$3</f>
        <v>45769</v>
      </c>
      <c r="AE16" s="17">
        <f>[13]Main!$H$3</f>
        <v>45856</v>
      </c>
    </row>
    <row r="17" spans="2:31" x14ac:dyDescent="0.3">
      <c r="B17" s="28" t="s">
        <v>79</v>
      </c>
      <c r="C17" s="7" t="s">
        <v>80</v>
      </c>
      <c r="D17" s="12">
        <f>[14]Main!$D$3</f>
        <v>83.6</v>
      </c>
      <c r="E17" s="8">
        <f>[14]Main!$D$5</f>
        <v>196075.44</v>
      </c>
      <c r="F17" s="8">
        <f>[14]Main!$D$8</f>
        <v>5230</v>
      </c>
      <c r="G17" s="8">
        <f>[14]Main!$D$9</f>
        <v>190845.44</v>
      </c>
      <c r="H17" s="8">
        <f>[14]Model!AL18</f>
        <v>464.10000000000019</v>
      </c>
      <c r="I17" s="8">
        <f>[14]Model!AM18</f>
        <v>835.43674499999997</v>
      </c>
      <c r="J17" s="8">
        <f>[14]Model!AN18</f>
        <v>1390.8552371999997</v>
      </c>
      <c r="K17" s="8">
        <f>[14]Model!AO18</f>
        <v>2078.6341469519998</v>
      </c>
      <c r="L17" s="8">
        <f>[14]Model!AP18</f>
        <v>2891.7309941960007</v>
      </c>
      <c r="M17" s="9">
        <f t="shared" si="4"/>
        <v>411.21620340443855</v>
      </c>
      <c r="N17" s="9">
        <f t="shared" si="4"/>
        <v>228.43792919355013</v>
      </c>
      <c r="O17" s="9">
        <f t="shared" si="4"/>
        <v>137.21445258688496</v>
      </c>
      <c r="P17" s="9">
        <f t="shared" si="4"/>
        <v>91.812905257928989</v>
      </c>
      <c r="Q17" s="9">
        <f t="shared" si="4"/>
        <v>65.996954897618863</v>
      </c>
      <c r="R17" s="9">
        <f>G17/[14]Model!$AW$18</f>
        <v>29.918477690011503</v>
      </c>
      <c r="S17" s="10">
        <f>[14]Model!$AL$3</f>
        <v>2865.4</v>
      </c>
      <c r="T17" s="11">
        <f>[14]Model!AK$22</f>
        <v>0.1674799307413819</v>
      </c>
      <c r="U17" s="11">
        <f>[14]Model!AL$22</f>
        <v>0.28776234775965137</v>
      </c>
      <c r="V17" s="11"/>
      <c r="W17" s="11"/>
      <c r="X17" s="11">
        <f>[14]Model!$AZ$26</f>
        <v>0.06</v>
      </c>
      <c r="Y17" s="11">
        <f>[14]Model!$AZ$32</f>
        <v>-0.58666400706025246</v>
      </c>
      <c r="Z17" s="7" t="str">
        <f>[14]Model!$AZ$33</f>
        <v>Heavily overvalued</v>
      </c>
      <c r="AA17" s="7" t="s">
        <v>53</v>
      </c>
      <c r="AB17" s="7">
        <v>2003</v>
      </c>
      <c r="AD17" s="17">
        <f>[14]Main!$E$3</f>
        <v>45751</v>
      </c>
      <c r="AE17" s="17">
        <f>[14]Main!$G$3</f>
        <v>45789</v>
      </c>
    </row>
    <row r="18" spans="2:31" x14ac:dyDescent="0.3">
      <c r="B18" s="30" t="s">
        <v>20</v>
      </c>
      <c r="C18" s="7" t="s">
        <v>31</v>
      </c>
      <c r="D18" s="15">
        <f>[15]Main!$D$3</f>
        <v>59500</v>
      </c>
      <c r="E18" s="8">
        <f>[15]Main!$D$5</f>
        <v>309815.64997801074</v>
      </c>
      <c r="F18" s="8">
        <f>[15]Main!$D$8</f>
        <v>84353.398832591876</v>
      </c>
      <c r="G18" s="8">
        <f>E18-F18</f>
        <v>225462.25114541885</v>
      </c>
      <c r="H18" s="8"/>
      <c r="I18" s="8"/>
      <c r="J18" s="8"/>
      <c r="K18" s="8"/>
      <c r="L18" s="8"/>
      <c r="M18" s="9"/>
      <c r="N18" s="9"/>
      <c r="O18" s="9"/>
      <c r="P18" s="9"/>
      <c r="Q18" s="9"/>
      <c r="R18" s="9"/>
      <c r="T18" s="11"/>
      <c r="U18" s="11"/>
      <c r="V18" s="11"/>
      <c r="W18" s="11"/>
      <c r="X18" s="11">
        <f>[15]Model!$AE$23</f>
        <v>0.05</v>
      </c>
      <c r="Y18" s="11">
        <f>[15]Model!$AE$29</f>
        <v>-6.9181920876941971E-2</v>
      </c>
      <c r="Z18" s="7" t="str">
        <f>[15]Model!$AE$30</f>
        <v>Fairly valued</v>
      </c>
      <c r="AA18" s="7" t="s">
        <v>52</v>
      </c>
      <c r="AB18" s="7">
        <v>1969</v>
      </c>
      <c r="AD18" s="17">
        <f>[15]Main!$E$3</f>
        <v>44120</v>
      </c>
      <c r="AE18" s="17" t="str">
        <f>[15]Main!$G$3</f>
        <v>Jan-Feb?</v>
      </c>
    </row>
    <row r="19" spans="2:31" x14ac:dyDescent="0.3">
      <c r="B19" s="27" t="s">
        <v>21</v>
      </c>
      <c r="C19" s="7" t="s">
        <v>32</v>
      </c>
      <c r="D19" s="12">
        <f>[16]Main!$D$3</f>
        <v>364.59</v>
      </c>
      <c r="E19" s="8">
        <f>[16]Main!$D$5</f>
        <v>158961.24</v>
      </c>
      <c r="F19" s="8">
        <f>[16]Main!$D$8</f>
        <v>1280</v>
      </c>
      <c r="G19" s="8">
        <f>[16]Main!$D$9</f>
        <v>157681.24</v>
      </c>
      <c r="H19" s="8">
        <f>[16]Model!AP$24</f>
        <v>5560</v>
      </c>
      <c r="I19" s="8">
        <f>[16]Model!AQ$24</f>
        <v>7419.9800790000027</v>
      </c>
      <c r="J19" s="8">
        <f>[16]Model!AR$24</f>
        <v>8584.2012092000041</v>
      </c>
      <c r="K19" s="8">
        <f>[16]Model!AS$24</f>
        <v>9255.2317002056043</v>
      </c>
      <c r="L19" s="8">
        <f>[16]Model!AT$24</f>
        <v>9817.3728258876235</v>
      </c>
      <c r="M19" s="9">
        <f t="shared" ref="M19:Q25" si="5">$G19/H19</f>
        <v>28.359935251798561</v>
      </c>
      <c r="N19" s="9">
        <f t="shared" si="5"/>
        <v>21.250898024142785</v>
      </c>
      <c r="O19" s="9">
        <f t="shared" si="5"/>
        <v>18.368772604142503</v>
      </c>
      <c r="P19" s="9">
        <f t="shared" si="5"/>
        <v>17.036984605852396</v>
      </c>
      <c r="Q19" s="9">
        <f t="shared" si="5"/>
        <v>16.061449717403747</v>
      </c>
      <c r="R19" s="9">
        <f>G19/[16]Model!$BA$24</f>
        <v>12.962246179758647</v>
      </c>
      <c r="S19" s="10">
        <f>[16]Model!$AP$6</f>
        <v>21505</v>
      </c>
      <c r="T19" s="11">
        <f>[16]Model!$AO$31</f>
        <v>0.10240826990798602</v>
      </c>
      <c r="U19" s="11">
        <f>[16]Model!$AP$31</f>
        <v>0.10799113813179462</v>
      </c>
      <c r="V19" s="11">
        <f>[16]Model!$AP$32</f>
        <v>0.89035108114392003</v>
      </c>
      <c r="W19" s="11">
        <f>[16]Model!$AP$33</f>
        <v>0.31346198558474775</v>
      </c>
      <c r="X19" s="11">
        <f>[16]Model!$BD$33</f>
        <v>0.06</v>
      </c>
      <c r="Y19" s="11">
        <f>[16]Model!$BD$39</f>
        <v>-3.1856995145475464E-2</v>
      </c>
      <c r="Z19" s="7" t="str">
        <f>[16]Model!$BD$40</f>
        <v>Fairly valued</v>
      </c>
      <c r="AA19" s="7" t="s">
        <v>53</v>
      </c>
      <c r="AB19" s="7">
        <v>1982</v>
      </c>
      <c r="AD19" s="17">
        <f>[16]Main!$E$3</f>
        <v>45751</v>
      </c>
      <c r="AE19" s="17">
        <f>[16]Main!$G$3</f>
        <v>45820</v>
      </c>
    </row>
    <row r="20" spans="2:31" x14ac:dyDescent="0.3">
      <c r="B20" s="6" t="s">
        <v>43</v>
      </c>
      <c r="C20" s="7" t="s">
        <v>44</v>
      </c>
      <c r="D20" s="12">
        <f>[17]Main!$D$3</f>
        <v>93.62</v>
      </c>
      <c r="E20" s="8">
        <f>[17]Main!$D$5</f>
        <v>151711.21000000002</v>
      </c>
      <c r="F20" s="8">
        <f>[17]Main!$D$8</f>
        <v>3560</v>
      </c>
      <c r="G20" s="8">
        <f>[17]Main!$D$9</f>
        <v>148151.21000000002</v>
      </c>
      <c r="H20" s="8">
        <f>[17]Model!AD$20</f>
        <v>1641</v>
      </c>
      <c r="I20" s="8">
        <f>[17]Model!AE$20</f>
        <v>3425.0734349999993</v>
      </c>
      <c r="J20" s="8">
        <f>[17]Model!AF$20</f>
        <v>5828.2418888800003</v>
      </c>
      <c r="K20" s="8">
        <f>[17]Model!AG$20</f>
        <v>7817.6468093015974</v>
      </c>
      <c r="L20" s="8">
        <f>[17]Model!AH$20</f>
        <v>9788.6832334527826</v>
      </c>
      <c r="M20" s="9">
        <f t="shared" si="5"/>
        <v>90.281054235222442</v>
      </c>
      <c r="N20" s="9">
        <f t="shared" si="5"/>
        <v>43.25490031427605</v>
      </c>
      <c r="O20" s="9">
        <f t="shared" si="5"/>
        <v>25.419536941777462</v>
      </c>
      <c r="P20" s="9">
        <f t="shared" si="5"/>
        <v>18.950870206073606</v>
      </c>
      <c r="Q20" s="9">
        <f t="shared" si="5"/>
        <v>15.134947823594281</v>
      </c>
      <c r="R20" s="9">
        <f>G20/[17]Model!$AO$20</f>
        <v>8.5350908356045885</v>
      </c>
      <c r="S20" s="10">
        <f>[17]Model!$AD$3</f>
        <v>25785</v>
      </c>
      <c r="T20" s="11">
        <f>[17]Model!AC$24</f>
        <v>-3.9023770179229644E-2</v>
      </c>
      <c r="U20" s="11">
        <f>[17]Model!AD$24</f>
        <v>0.13690476190476186</v>
      </c>
      <c r="V20" s="11"/>
      <c r="W20" s="11"/>
      <c r="X20" s="11">
        <f>[17]Model!$AR$26</f>
        <v>7.0000000000000007E-2</v>
      </c>
      <c r="Y20" s="11">
        <f>[17]Model!$AR$32</f>
        <v>0.22207640094619396</v>
      </c>
      <c r="Z20" s="7" t="str">
        <f>[17]Model!$AR$33</f>
        <v>Slightly undervalued</v>
      </c>
      <c r="AA20" s="7" t="s">
        <v>55</v>
      </c>
      <c r="AB20" s="7">
        <v>1969</v>
      </c>
      <c r="AD20" s="17">
        <f>[17]Main!$E$3</f>
        <v>45751</v>
      </c>
      <c r="AE20" s="17">
        <f>[17]Main!$G$3</f>
        <v>45783</v>
      </c>
    </row>
    <row r="21" spans="2:31" x14ac:dyDescent="0.3">
      <c r="B21" s="6" t="s">
        <v>195</v>
      </c>
      <c r="C21" s="7" t="s">
        <v>196</v>
      </c>
      <c r="D21" s="12">
        <f>[18]Main!$D$3</f>
        <v>176.85</v>
      </c>
      <c r="E21" s="8">
        <f>[18]Main!$D$5</f>
        <v>98045.64</v>
      </c>
      <c r="F21" s="8">
        <f>[18]Main!$D$8</f>
        <v>-27120</v>
      </c>
      <c r="G21" s="8">
        <f>[18]Main!$D$9</f>
        <v>125165.64</v>
      </c>
      <c r="H21" s="8">
        <f>[18]Model!Y$20</f>
        <v>3131</v>
      </c>
      <c r="I21" s="8">
        <f>[18]Model!Z$20</f>
        <v>4134.5485600000011</v>
      </c>
      <c r="J21" s="8">
        <f>[18]Model!AA$20</f>
        <v>4434.1943512000025</v>
      </c>
      <c r="K21" s="8">
        <f>[18]Model!AB$20</f>
        <v>4673.9038504240007</v>
      </c>
      <c r="L21" s="8">
        <f>[18]Model!AC$20</f>
        <v>4878.0582544244799</v>
      </c>
      <c r="M21" s="9">
        <f t="shared" ref="M21" si="6">$G21/H21</f>
        <v>39.976250399233471</v>
      </c>
      <c r="N21" s="9">
        <f t="shared" ref="N21" si="7">$G21/I21</f>
        <v>30.273109188007691</v>
      </c>
      <c r="O21" s="9">
        <f t="shared" ref="O21" si="8">$G21/J21</f>
        <v>28.227368961878518</v>
      </c>
      <c r="P21" s="9">
        <f t="shared" ref="P21" si="9">$G21/K21</f>
        <v>26.779677974900018</v>
      </c>
      <c r="Q21" s="9">
        <f t="shared" ref="Q21" si="10">$G21/L21</f>
        <v>25.658906366374918</v>
      </c>
      <c r="R21" s="9">
        <f>G21/[18]Model!$AJ$20</f>
        <v>23.133684981598435</v>
      </c>
      <c r="S21" s="10">
        <f>[18]Model!$Y$5</f>
        <v>20456</v>
      </c>
      <c r="T21" s="11">
        <f>[18]Model!$X$26</f>
        <v>7.6450358008682384E-2</v>
      </c>
      <c r="U21" s="11">
        <f>[18]Model!$Y$26</f>
        <v>7.1387419473105229E-2</v>
      </c>
      <c r="V21" s="11">
        <f>[18]Model!$Y$29</f>
        <v>0.60828118889323424</v>
      </c>
      <c r="W21" s="11">
        <f>[18]Model!$Y$31</f>
        <v>0.28739734063355493</v>
      </c>
      <c r="X21" s="11">
        <f>[18]Model!$AM$26</f>
        <v>7.0000000000000007E-2</v>
      </c>
      <c r="Y21" s="11">
        <f>[18]Model!$AM$32</f>
        <v>-0.57655076564752616</v>
      </c>
      <c r="Z21" s="7" t="str">
        <f>[18]Model!$AM$33</f>
        <v>Heavily overvalued</v>
      </c>
      <c r="AA21" s="7" t="s">
        <v>94</v>
      </c>
      <c r="AB21" s="7">
        <v>1984</v>
      </c>
      <c r="AD21" s="17">
        <f>[18]Main!$E$3</f>
        <v>45772</v>
      </c>
      <c r="AE21" s="17">
        <f>[18]Main!$G$3</f>
        <v>45867</v>
      </c>
    </row>
    <row r="22" spans="2:31" x14ac:dyDescent="0.3">
      <c r="B22" s="27" t="s">
        <v>22</v>
      </c>
      <c r="C22" s="7" t="s">
        <v>34</v>
      </c>
      <c r="D22" s="12">
        <f>[19]Main!$D$3</f>
        <v>20.14</v>
      </c>
      <c r="E22" s="8">
        <f>[19]Main!$D$5</f>
        <v>87468.02</v>
      </c>
      <c r="F22" s="8">
        <f>[19]Main!$D$8</f>
        <v>-24076</v>
      </c>
      <c r="G22" s="8">
        <f>[19]Main!$D$9</f>
        <v>111544.02</v>
      </c>
      <c r="H22" s="8">
        <f>[19]Model!AE$24</f>
        <v>-18756</v>
      </c>
      <c r="I22" s="8">
        <f>[19]Model!AF$24</f>
        <v>-2055.2711750000058</v>
      </c>
      <c r="J22" s="8">
        <f>[19]Model!AG$24</f>
        <v>727.91294399999822</v>
      </c>
      <c r="K22" s="8">
        <f>[19]Model!AH$24</f>
        <v>2613.394682207997</v>
      </c>
      <c r="L22" s="8">
        <f>[19]Model!AI$24</f>
        <v>3383.2235656655957</v>
      </c>
      <c r="M22" s="9">
        <f t="shared" si="5"/>
        <v>-5.9471113243762002</v>
      </c>
      <c r="N22" s="9">
        <f t="shared" si="5"/>
        <v>-54.272166785971535</v>
      </c>
      <c r="O22" s="9">
        <f t="shared" si="5"/>
        <v>153.23813227863175</v>
      </c>
      <c r="P22" s="9">
        <f t="shared" si="5"/>
        <v>42.681658748061366</v>
      </c>
      <c r="Q22" s="9">
        <f t="shared" si="5"/>
        <v>32.969745520809376</v>
      </c>
      <c r="R22" s="9">
        <f>G22/[19]Model!$AP$24</f>
        <v>16.098609030192296</v>
      </c>
      <c r="S22" s="10">
        <f>[19]Model!$AE$11</f>
        <v>53101</v>
      </c>
      <c r="T22" s="11">
        <f>[19]Model!AD$35</f>
        <v>-0.13997525930155108</v>
      </c>
      <c r="U22" s="11">
        <f>[19]Model!AE$35</f>
        <v>-2.0782621523935951E-2</v>
      </c>
      <c r="V22" s="11"/>
      <c r="W22" s="11"/>
      <c r="X22" s="11">
        <f>[19]Model!$AS$38</f>
        <v>0.06</v>
      </c>
      <c r="Y22" s="11">
        <f>[19]Model!$AS$44</f>
        <v>-0.37659448511523141</v>
      </c>
      <c r="Z22" s="11" t="str">
        <f>[19]Model!$AS$45</f>
        <v>Overvalued</v>
      </c>
      <c r="AA22" s="7" t="s">
        <v>55</v>
      </c>
      <c r="AB22" s="7">
        <v>1968</v>
      </c>
      <c r="AD22" s="17">
        <f>[19]Main!$E$3</f>
        <v>45771</v>
      </c>
      <c r="AE22" s="17">
        <f>[19]Main!$G$3</f>
        <v>45862</v>
      </c>
    </row>
    <row r="23" spans="2:31" x14ac:dyDescent="0.3">
      <c r="B23" s="6" t="s">
        <v>135</v>
      </c>
      <c r="C23" s="7" t="s">
        <v>136</v>
      </c>
      <c r="D23" s="12">
        <f>[20]Main!$D$3</f>
        <v>551.44000000000005</v>
      </c>
      <c r="E23" s="8">
        <f>[20]Main!$D$5</f>
        <v>112383.47200000002</v>
      </c>
      <c r="F23" s="8">
        <f>[20]Main!$D$9</f>
        <v>7912.7333752884415</v>
      </c>
      <c r="G23" s="8">
        <f>E23-F23</f>
        <v>104470.73862471158</v>
      </c>
      <c r="H23" s="8">
        <f>[20]Model!AC14</f>
        <v>1138</v>
      </c>
      <c r="I23" s="8">
        <f>[20]Model!AD14</f>
        <v>1685.6336250000006</v>
      </c>
      <c r="J23" s="8">
        <f>[20]Model!AE14</f>
        <v>2698.4914175999993</v>
      </c>
      <c r="K23" s="8">
        <f>[20]Model!AF14</f>
        <v>3283.3523622400012</v>
      </c>
      <c r="L23" s="8">
        <f>[20]Model!AG14</f>
        <v>3895.3281177728009</v>
      </c>
      <c r="M23" s="9">
        <f t="shared" si="5"/>
        <v>91.80205503050226</v>
      </c>
      <c r="N23" s="9">
        <f t="shared" si="5"/>
        <v>61.977132560292596</v>
      </c>
      <c r="O23" s="9">
        <f t="shared" si="5"/>
        <v>38.714497271822488</v>
      </c>
      <c r="P23" s="9">
        <f t="shared" si="5"/>
        <v>31.818314667097905</v>
      </c>
      <c r="Q23" s="9">
        <f t="shared" si="5"/>
        <v>26.819496449619741</v>
      </c>
      <c r="R23" s="9">
        <f>G23/[20]Model!$AN$14</f>
        <v>14.331097660874272</v>
      </c>
      <c r="S23" s="10">
        <f>[20]Model!$AC$3</f>
        <v>15673</v>
      </c>
      <c r="T23" s="11">
        <f>[20]Model!AB$18</f>
        <v>0.12961541741280813</v>
      </c>
      <c r="U23" s="11">
        <f>[20]Model!AC$18</f>
        <v>0.18313580433305665</v>
      </c>
      <c r="V23" s="11"/>
      <c r="W23" s="11"/>
      <c r="X23" s="11">
        <f>[20]Model!$AQ$20</f>
        <v>7.0000000000000007E-2</v>
      </c>
      <c r="Y23" s="11">
        <f>[20]Model!$AQ$27</f>
        <v>-0.25016144459347034</v>
      </c>
      <c r="Z23" s="7" t="str">
        <f>[20]Model!$AQ$28</f>
        <v>Slightly overvalued</v>
      </c>
      <c r="AA23" s="7" t="s">
        <v>54</v>
      </c>
      <c r="AB23" s="7">
        <v>2007</v>
      </c>
      <c r="AD23" s="17">
        <f>[20]Main!$F$3</f>
        <v>45751</v>
      </c>
      <c r="AE23" s="17">
        <f>[20]Main!$H$3</f>
        <v>45770</v>
      </c>
    </row>
    <row r="24" spans="2:31" x14ac:dyDescent="0.3">
      <c r="B24" s="29" t="s">
        <v>120</v>
      </c>
      <c r="C24" s="7" t="s">
        <v>121</v>
      </c>
      <c r="D24" s="12">
        <f>[21]Main!$D$3</f>
        <v>60.96</v>
      </c>
      <c r="E24" s="8">
        <f>[21]Main!$D$5</f>
        <v>60301.632000000005</v>
      </c>
      <c r="F24" s="8">
        <f>[21]Main!$D$8</f>
        <v>5527</v>
      </c>
      <c r="G24" s="8">
        <f>[21]Main!$D$9</f>
        <v>54774.632000000005</v>
      </c>
      <c r="H24" s="8">
        <f>[21]Model!AI17</f>
        <v>4147</v>
      </c>
      <c r="I24" s="8">
        <f>[21]Model!AJ17</f>
        <v>5202.2908079999997</v>
      </c>
      <c r="J24" s="8">
        <f>[21]Model!AK17</f>
        <v>5767.3797854400027</v>
      </c>
      <c r="K24" s="8">
        <f>[21]Model!AL17</f>
        <v>6306.4111987968017</v>
      </c>
      <c r="L24" s="8">
        <f>[21]Model!AM17</f>
        <v>6761.7767353918107</v>
      </c>
      <c r="M24" s="9">
        <f t="shared" si="5"/>
        <v>13.208254641909816</v>
      </c>
      <c r="N24" s="9">
        <f t="shared" si="5"/>
        <v>10.52894465564448</v>
      </c>
      <c r="O24" s="9">
        <f t="shared" si="5"/>
        <v>9.4973166390534765</v>
      </c>
      <c r="P24" s="9">
        <f t="shared" si="5"/>
        <v>8.6855471794243986</v>
      </c>
      <c r="Q24" s="9">
        <f t="shared" si="5"/>
        <v>8.1006271196894364</v>
      </c>
      <c r="R24" s="9">
        <f>G24/[21]Model!$AT$17</f>
        <v>7.3105756513468165</v>
      </c>
      <c r="S24" s="10">
        <f>[21]Model!$AI$3</f>
        <v>31797</v>
      </c>
      <c r="T24" s="11">
        <f>[21]Model!AH$21</f>
        <v>8.1873682680427384E-2</v>
      </c>
      <c r="U24" s="11">
        <f>[21]Model!AI$21</f>
        <v>6.8052803063383793E-2</v>
      </c>
      <c r="V24" s="11"/>
      <c r="W24" s="11"/>
      <c r="X24" s="11">
        <f>[21]Model!$AX$23</f>
        <v>0.08</v>
      </c>
      <c r="Y24" s="11">
        <f>[21]Model!$AX$29</f>
        <v>0.44345022948092061</v>
      </c>
      <c r="Z24" s="7" t="str">
        <f>[21]Model!$AX$30</f>
        <v>Undervalued</v>
      </c>
      <c r="AA24" s="7" t="s">
        <v>94</v>
      </c>
      <c r="AB24" s="7">
        <v>1998</v>
      </c>
      <c r="AD24" s="17">
        <f>[21]Main!$E$3</f>
        <v>45751</v>
      </c>
      <c r="AE24" s="17">
        <f>[21]Main!$G$3</f>
        <v>45777</v>
      </c>
    </row>
    <row r="25" spans="2:31" x14ac:dyDescent="0.3">
      <c r="B25" s="27" t="s">
        <v>92</v>
      </c>
      <c r="C25" s="7" t="s">
        <v>93</v>
      </c>
      <c r="D25" s="12">
        <f>[22]Main!$D$3</f>
        <v>170.76</v>
      </c>
      <c r="E25" s="8">
        <f>[22]Main!$D$5</f>
        <v>43355.963999999993</v>
      </c>
      <c r="F25" s="8">
        <f>[22]Main!$D$8</f>
        <v>4309.7999999999993</v>
      </c>
      <c r="G25" s="8">
        <f>[22]Main!$D$9</f>
        <v>39046.16399999999</v>
      </c>
      <c r="H25" s="8">
        <f>[22]Model!AH19</f>
        <v>2578.7999999999997</v>
      </c>
      <c r="I25" s="8">
        <f>[22]Model!AI19</f>
        <v>1236.7858699999997</v>
      </c>
      <c r="J25" s="8">
        <f>[22]Model!AJ19</f>
        <v>2030.6664069599997</v>
      </c>
      <c r="K25" s="8">
        <f>[22]Model!AK19</f>
        <v>2587.6999560556801</v>
      </c>
      <c r="L25" s="8">
        <f>[22]Model!AL19</f>
        <v>2936.7207553924445</v>
      </c>
      <c r="M25" s="9">
        <f t="shared" si="5"/>
        <v>15.141214518380639</v>
      </c>
      <c r="N25" s="9">
        <f t="shared" si="5"/>
        <v>31.570674396530741</v>
      </c>
      <c r="O25" s="9">
        <f t="shared" si="5"/>
        <v>19.228251310097694</v>
      </c>
      <c r="P25" s="9">
        <f t="shared" si="5"/>
        <v>15.089138873548686</v>
      </c>
      <c r="Q25" s="9">
        <f t="shared" si="5"/>
        <v>13.295838199223716</v>
      </c>
      <c r="R25" s="9">
        <f>G25/[22]Model!$AS$19</f>
        <v>10.303162912587164</v>
      </c>
      <c r="S25" s="10">
        <f>[22]Model!$AH$5</f>
        <v>6564</v>
      </c>
      <c r="T25" s="11">
        <f>[22]Model!AG$23</f>
        <v>-2.6862026862026767E-2</v>
      </c>
      <c r="U25" s="11">
        <f>[22]Model!AH$23</f>
        <v>1.111765273622237</v>
      </c>
      <c r="V25" s="11"/>
      <c r="W25" s="11"/>
      <c r="X25" s="11">
        <f>[22]Model!$AV$26</f>
        <v>0.08</v>
      </c>
      <c r="Y25" s="11">
        <f>[22]Model!$AV$32</f>
        <v>-2.3447287090133662E-2</v>
      </c>
      <c r="Z25" s="7" t="str">
        <f>[22]Model!$AV$33</f>
        <v>Fairly valued</v>
      </c>
      <c r="AA25" s="7" t="s">
        <v>94</v>
      </c>
      <c r="AB25" s="7">
        <v>2012</v>
      </c>
      <c r="AD25" s="17">
        <f>[22]Main!$E$3</f>
        <v>45751</v>
      </c>
      <c r="AE25" s="17">
        <f>[22]Main!$G$3</f>
        <v>45784</v>
      </c>
    </row>
    <row r="26" spans="2:31" x14ac:dyDescent="0.3">
      <c r="B26" s="28" t="s">
        <v>47</v>
      </c>
      <c r="C26" s="7" t="s">
        <v>48</v>
      </c>
      <c r="D26" s="12">
        <f>[23]Main!$D$3</f>
        <v>138.38999999999999</v>
      </c>
      <c r="E26" s="8">
        <f>[23]Main!$D$5</f>
        <v>45862.445999999989</v>
      </c>
      <c r="F26" s="8">
        <f>[23]Main!$D$8</f>
        <v>3024.7000000000007</v>
      </c>
      <c r="G26" s="8">
        <f>[23]Main!$D$9</f>
        <v>42837.745999999985</v>
      </c>
      <c r="H26" s="8">
        <f>[23]Model!AN$16</f>
        <v>-240.01066769136114</v>
      </c>
      <c r="I26" s="8">
        <f>[23]Model!AO$16</f>
        <v>198.13126283928906</v>
      </c>
      <c r="J26" s="8">
        <f>[23]Model!AP$16</f>
        <v>506.19203596408926</v>
      </c>
      <c r="K26" s="8">
        <f>[23]Model!AQ$16</f>
        <v>771.45115546614261</v>
      </c>
      <c r="L26" s="8">
        <f>[23]Model!AR$16</f>
        <v>946.1797826811702</v>
      </c>
      <c r="M26" s="9"/>
      <c r="N26" s="9"/>
      <c r="O26" s="9"/>
      <c r="P26" s="9"/>
      <c r="Q26" s="9"/>
      <c r="R26" s="9">
        <f>G26/[23]Model!$AY$16</f>
        <v>32.174053335778765</v>
      </c>
      <c r="S26" s="10">
        <f>[23]Model!$AN$3</f>
        <v>7381.8418175999986</v>
      </c>
      <c r="T26" s="11">
        <f>[23]Model!AM$20</f>
        <v>0.19999999999999996</v>
      </c>
      <c r="U26" s="11">
        <f>[23]Model!AN$20</f>
        <v>0.1399999999999999</v>
      </c>
      <c r="V26" s="11"/>
      <c r="W26" s="11"/>
      <c r="X26" s="11">
        <f>[23]Model!$AX$23</f>
        <v>0.08</v>
      </c>
      <c r="Y26" s="11">
        <f>[23]Model!$AX$90</f>
        <v>-0.5208349517611679</v>
      </c>
      <c r="Z26" s="7" t="str">
        <f>[23]Model!$AX$30</f>
        <v>Heavily overvalued</v>
      </c>
      <c r="AA26" s="7" t="s">
        <v>53</v>
      </c>
      <c r="AB26" s="7">
        <v>2012</v>
      </c>
      <c r="AD26" s="17">
        <f>[23]Main!$E$3</f>
        <v>45751</v>
      </c>
      <c r="AE26" s="17">
        <f>[23]Main!$G$3</f>
        <v>45798</v>
      </c>
    </row>
    <row r="27" spans="2:31" x14ac:dyDescent="0.3">
      <c r="B27" s="27" t="s">
        <v>132</v>
      </c>
      <c r="C27" s="7" t="s">
        <v>133</v>
      </c>
      <c r="D27" s="12">
        <f>[24]Main!$D$3</f>
        <v>92.41</v>
      </c>
      <c r="E27" s="8">
        <f>[24]Main!$D$5</f>
        <v>22880.716</v>
      </c>
      <c r="F27" s="8">
        <f>[24]Main!$D$8</f>
        <v>-14205.4</v>
      </c>
      <c r="G27" s="8">
        <f>[24]Main!$D$9</f>
        <v>37086.116000000002</v>
      </c>
      <c r="H27" s="8">
        <f>[24]Model!Y15</f>
        <v>1570.3999999999994</v>
      </c>
      <c r="I27" s="8">
        <f>[24]Model!Z15</f>
        <v>1591.795564100001</v>
      </c>
      <c r="J27" s="8">
        <f>[24]Model!AA15</f>
        <v>1847.0743551644998</v>
      </c>
      <c r="K27" s="8">
        <f>[24]Model!AB15</f>
        <v>1992.9255918762433</v>
      </c>
      <c r="L27" s="8">
        <f>[24]Model!AC15</f>
        <v>2050.8211370533554</v>
      </c>
      <c r="M27" s="9">
        <f>$G27/H27</f>
        <v>23.615713194090688</v>
      </c>
      <c r="N27" s="9">
        <f>$G27/I27</f>
        <v>23.298290833577262</v>
      </c>
      <c r="O27" s="9">
        <f>$G27/J27</f>
        <v>20.078301610493167</v>
      </c>
      <c r="P27" s="9">
        <f>$G27/K27</f>
        <v>18.608881410913696</v>
      </c>
      <c r="Q27" s="9">
        <f>$G27/L27</f>
        <v>18.083544844523001</v>
      </c>
      <c r="R27" s="9">
        <f>G27/[24]Model!$AJ$15</f>
        <v>15.928263542991425</v>
      </c>
      <c r="S27" s="10">
        <f>[24]Model!$Y$3</f>
        <v>10106</v>
      </c>
      <c r="T27" s="11">
        <f>[24]Model!X$19</f>
        <v>7.562725611658272E-2</v>
      </c>
      <c r="U27" s="11">
        <f>[24]Model!Y$19</f>
        <v>4.6776599270798913E-2</v>
      </c>
      <c r="V27" s="11"/>
      <c r="W27" s="11"/>
      <c r="X27" s="11">
        <f>[24]Model!$AN$21</f>
        <v>0.08</v>
      </c>
      <c r="Y27" s="11">
        <f>[24]Model!$AN$27</f>
        <v>-0.50305134589738842</v>
      </c>
      <c r="Z27" s="7" t="str">
        <f>[24]Model!$AN$28</f>
        <v>Heavily overvalued</v>
      </c>
      <c r="AA27" s="7" t="s">
        <v>94</v>
      </c>
      <c r="AB27" s="7">
        <v>1967</v>
      </c>
      <c r="AD27" s="17">
        <f>[24]Main!$F$3</f>
        <v>45751</v>
      </c>
      <c r="AE27" s="17">
        <f>[24]Main!$H$3</f>
        <v>45782</v>
      </c>
    </row>
    <row r="28" spans="2:31" x14ac:dyDescent="0.3">
      <c r="B28" s="6" t="s">
        <v>82</v>
      </c>
      <c r="C28" s="7" t="s">
        <v>83</v>
      </c>
      <c r="D28" s="12">
        <f>[25]Main!$D$3</f>
        <v>58.22</v>
      </c>
      <c r="E28" s="8">
        <f>[25]Main!$D$5</f>
        <v>38850.205999999998</v>
      </c>
      <c r="F28" s="8">
        <f>[25]Main!$D$6</f>
        <v>4019.8</v>
      </c>
      <c r="G28" s="8">
        <f>[25]Main!$D$9</f>
        <v>35836.805999999997</v>
      </c>
      <c r="H28" s="8">
        <f>[25]Model!AQ$19</f>
        <v>-935.1</v>
      </c>
      <c r="I28" s="8">
        <f>[25]Model!AR$19</f>
        <v>-514.98131720000038</v>
      </c>
      <c r="J28" s="8">
        <f>[25]Model!AS$19</f>
        <v>-79.798835358000503</v>
      </c>
      <c r="K28" s="8">
        <f>[25]Model!AT$19</f>
        <v>417.1052011499994</v>
      </c>
      <c r="L28" s="8">
        <f>[25]Model!AU$19</f>
        <v>923.69251983036531</v>
      </c>
      <c r="M28" s="9"/>
      <c r="N28" s="9"/>
      <c r="O28" s="9"/>
      <c r="P28" s="9">
        <f>$G28/K28</f>
        <v>85.917907283808631</v>
      </c>
      <c r="Q28" s="9">
        <f>$G28/L28</f>
        <v>38.797332695279778</v>
      </c>
      <c r="R28" s="9">
        <f>G28/[25]Model!$BB$19</f>
        <v>11.653752126975338</v>
      </c>
      <c r="S28" s="10">
        <f>[25]Model!$AQ$3</f>
        <v>3602</v>
      </c>
      <c r="T28" s="11">
        <f>[25]Model!AP$23</f>
        <v>0.25806741573033709</v>
      </c>
      <c r="U28" s="11">
        <f>[25]Model!AQ$23</f>
        <v>0.28679622749356937</v>
      </c>
      <c r="V28" s="11"/>
      <c r="W28" s="11"/>
      <c r="X28" s="11">
        <f>[25]Model!$BE$27</f>
        <v>0.08</v>
      </c>
      <c r="Y28" s="11">
        <f>[25]Model!$BE$33</f>
        <v>-0.32008553378821236</v>
      </c>
      <c r="Z28" s="7" t="str">
        <f>[25]Model!$BE$34</f>
        <v>Overvalued</v>
      </c>
      <c r="AA28" s="7" t="s">
        <v>54</v>
      </c>
      <c r="AB28" s="7">
        <v>2006</v>
      </c>
      <c r="AD28" s="17">
        <f>[25]Main!$E$3</f>
        <v>45751</v>
      </c>
      <c r="AE28" s="17">
        <f>[25]Main!$G$3</f>
        <v>45784</v>
      </c>
    </row>
    <row r="29" spans="2:31" x14ac:dyDescent="0.3">
      <c r="B29" s="6" t="s">
        <v>193</v>
      </c>
      <c r="C29" s="7" t="s">
        <v>194</v>
      </c>
      <c r="D29" s="12">
        <f>[26]Main!$D$3</f>
        <v>52.7</v>
      </c>
      <c r="E29" s="8">
        <f>[26]Main!$D$5</f>
        <v>32642.38</v>
      </c>
      <c r="F29" s="8">
        <f>[26]Main!$D$8</f>
        <v>2845.2000000000007</v>
      </c>
      <c r="G29" s="8">
        <f>[26]Main!$D$9</f>
        <v>29797.18</v>
      </c>
      <c r="H29" s="8">
        <f>[26]Model!Y$30</f>
        <v>2897.1000000000013</v>
      </c>
      <c r="I29" s="8">
        <f>[26]Model!Z$30</f>
        <v>482.28284520000005</v>
      </c>
      <c r="J29" s="8">
        <f>[26]Model!AA$30</f>
        <v>815.27382816000022</v>
      </c>
      <c r="K29" s="8">
        <f>[26]Model!AB$30</f>
        <v>1434.0540926184005</v>
      </c>
      <c r="L29" s="8">
        <f>[26]Model!AC$30</f>
        <v>1925.6700331818413</v>
      </c>
      <c r="M29" s="9">
        <f t="shared" ref="M29:Q29" si="11">$G29/H29</f>
        <v>10.285174830002411</v>
      </c>
      <c r="N29" s="9">
        <f t="shared" si="11"/>
        <v>61.783619916323737</v>
      </c>
      <c r="O29" s="9">
        <f t="shared" si="11"/>
        <v>36.548677230630055</v>
      </c>
      <c r="P29" s="9">
        <f t="shared" si="11"/>
        <v>20.778281763133592</v>
      </c>
      <c r="Q29" s="9">
        <f t="shared" si="11"/>
        <v>15.473668638216923</v>
      </c>
      <c r="R29" s="9">
        <f>G29/[26]Model!$AJ$30</f>
        <v>11.767867610914635</v>
      </c>
      <c r="S29" s="10">
        <f>[26]Model!$Y$7</f>
        <v>24121.1</v>
      </c>
      <c r="T29" s="11">
        <f>[26]Model!$X$38</f>
        <v>0.25006274384539928</v>
      </c>
      <c r="U29" s="11">
        <f>[26]Model!$Y$38</f>
        <v>0.10063607658471585</v>
      </c>
      <c r="V29" s="11">
        <f>[26]Model!$Y$43</f>
        <v>0.36851967779247219</v>
      </c>
      <c r="W29" s="11">
        <f>[26]Model!$Y$47</f>
        <v>3.6996654381433743E-2</v>
      </c>
      <c r="X29" s="11">
        <f>[26]Model!$AN$36</f>
        <v>0.08</v>
      </c>
      <c r="Y29" s="11">
        <f>[26]Model!$AN$42</f>
        <v>-0.17606632725014193</v>
      </c>
      <c r="Z29" s="7" t="str">
        <f>[26]Model!$AN$43</f>
        <v>Slightly overvalued</v>
      </c>
      <c r="AA29" s="7" t="s">
        <v>94</v>
      </c>
      <c r="AB29" s="7">
        <v>2021</v>
      </c>
      <c r="AD29" s="17">
        <f>[26]Main!$E$3</f>
        <v>45758</v>
      </c>
      <c r="AE29" s="17">
        <f>[26]Main!$G$3</f>
        <v>45778</v>
      </c>
    </row>
    <row r="30" spans="2:31" x14ac:dyDescent="0.3">
      <c r="B30" s="27" t="s">
        <v>59</v>
      </c>
      <c r="C30" s="7" t="s">
        <v>60</v>
      </c>
      <c r="D30" s="12">
        <f>[27]Main!$D$3</f>
        <v>149.62</v>
      </c>
      <c r="E30" s="8">
        <f>[27]Main!$D$5</f>
        <v>8513.3780000000006</v>
      </c>
      <c r="F30" s="8">
        <f>[27]Main!$D$8</f>
        <v>1262.8</v>
      </c>
      <c r="G30" s="8">
        <f>[27]Main!$D$9</f>
        <v>7250.5780000000004</v>
      </c>
      <c r="H30" s="8">
        <f>[27]Model!AZ$13</f>
        <v>454.49999999999966</v>
      </c>
      <c r="I30" s="8">
        <f>[27]Model!BA$13</f>
        <v>449.57382599999983</v>
      </c>
      <c r="J30" s="8">
        <f>[27]Model!BB$13</f>
        <v>445.48834746</v>
      </c>
      <c r="K30" s="8">
        <f>[27]Model!BC$13</f>
        <v>441.07713379859996</v>
      </c>
      <c r="L30" s="8">
        <f>[27]Model!BD$13</f>
        <v>443.01880423842584</v>
      </c>
      <c r="M30" s="9">
        <f t="shared" ref="M30" si="12">$G30/H30</f>
        <v>15.952866886688682</v>
      </c>
      <c r="N30" s="9">
        <f t="shared" ref="N30" si="13">$G30/I30</f>
        <v>16.127669318542587</v>
      </c>
      <c r="O30" s="9">
        <f t="shared" ref="O30" si="14">$G30/J30</f>
        <v>16.275572731228451</v>
      </c>
      <c r="P30" s="9">
        <f t="shared" ref="P30" si="15">$G30/K30</f>
        <v>16.438344780100714</v>
      </c>
      <c r="Q30" s="9">
        <f t="shared" ref="Q30" si="16">$G30/L30</f>
        <v>16.366298519685074</v>
      </c>
      <c r="R30" s="9">
        <f>G30/[27]Model!$BK$13</f>
        <v>16.044350612290323</v>
      </c>
      <c r="S30" s="10">
        <f>[27]Model!$AZ$3</f>
        <v>4727.8999999999996</v>
      </c>
      <c r="T30" s="11">
        <f>[27]Model!$AY$17</f>
        <v>-2.7815200945136453E-2</v>
      </c>
      <c r="U30" s="11">
        <f>[27]Model!$AZ$17</f>
        <v>7.9735635859716769E-3</v>
      </c>
      <c r="V30" s="11">
        <f>[27]Model!$AZ$18</f>
        <v>0.30677467797542246</v>
      </c>
      <c r="W30" s="11">
        <f>[27]Model!$AZ$19</f>
        <v>0.11516741047822494</v>
      </c>
      <c r="X30" s="11">
        <f>[27]Model!$BN$20</f>
        <v>0.08</v>
      </c>
      <c r="Y30" s="11">
        <f>[27]Model!$BN$26</f>
        <v>-0.23066366640452585</v>
      </c>
      <c r="Z30" s="7" t="str">
        <f>[27]Model!$BN$27</f>
        <v>Slightly overvalued</v>
      </c>
      <c r="AA30" s="7" t="s">
        <v>53</v>
      </c>
      <c r="AB30" s="7">
        <v>1993</v>
      </c>
      <c r="AD30" s="17">
        <f>[27]Main!$E$3</f>
        <v>45764</v>
      </c>
      <c r="AE30" s="17">
        <f>[27]Main!$G$3</f>
        <v>45785</v>
      </c>
    </row>
    <row r="31" spans="2:31" x14ac:dyDescent="0.3">
      <c r="B31" s="27" t="s">
        <v>122</v>
      </c>
      <c r="C31" s="7" t="s">
        <v>134</v>
      </c>
      <c r="D31" s="12">
        <f>[28]Main!$D$3</f>
        <v>96.02</v>
      </c>
      <c r="E31" s="8">
        <f>[28]Main!$D$5</f>
        <v>17370.018</v>
      </c>
      <c r="F31" s="8">
        <f>[28]Main!$D$8</f>
        <v>1670.3</v>
      </c>
      <c r="G31" s="8">
        <f>E31-F31</f>
        <v>15699.718000000001</v>
      </c>
      <c r="H31" s="8">
        <f>[28]Model!V13</f>
        <v>-484.2000000000001</v>
      </c>
      <c r="I31" s="8">
        <f>[28]Model!W13</f>
        <v>224.29629999999995</v>
      </c>
      <c r="J31" s="8">
        <f>[28]Model!X13</f>
        <v>394.28181599999988</v>
      </c>
      <c r="K31" s="8">
        <f>[28]Model!Y13</f>
        <v>496.32664398000003</v>
      </c>
      <c r="L31" s="8">
        <f>[28]Model!Z13</f>
        <v>596.15461994340012</v>
      </c>
      <c r="M31" s="9"/>
      <c r="N31" s="9">
        <f>$G31/I31</f>
        <v>69.995439068767539</v>
      </c>
      <c r="O31" s="9">
        <f>$G31/J31</f>
        <v>39.818519046285424</v>
      </c>
      <c r="P31" s="9">
        <f>$G31/K31</f>
        <v>31.631825916306514</v>
      </c>
      <c r="Q31" s="9">
        <f>$G31/L31</f>
        <v>26.334976656711238</v>
      </c>
      <c r="R31" s="9"/>
      <c r="S31" s="10">
        <f>[28]Model!$V$3</f>
        <v>1300.3</v>
      </c>
      <c r="T31" s="11">
        <f>[28]Model!U$17</f>
        <v>0.2059397030148491</v>
      </c>
      <c r="U31" s="11">
        <f>[28]Model!V$17</f>
        <v>0.61728855721393039</v>
      </c>
      <c r="V31" s="11"/>
      <c r="W31" s="11"/>
      <c r="X31" s="11">
        <f>[28]Model!$AJ$19</f>
        <v>0.08</v>
      </c>
      <c r="Y31" s="11">
        <f>[28]Model!$AJ$25</f>
        <v>-0.36407237828778038</v>
      </c>
      <c r="Z31" s="7" t="str">
        <f>[28]Model!$AJ$26</f>
        <v>Overvalued</v>
      </c>
      <c r="AA31" s="7" t="s">
        <v>54</v>
      </c>
      <c r="AB31" s="7">
        <v>2005</v>
      </c>
      <c r="AD31" s="17">
        <f>[28]Main!$F$3</f>
        <v>45751</v>
      </c>
      <c r="AE31" s="17">
        <f>[28]Main!$H$3</f>
        <v>45790</v>
      </c>
    </row>
    <row r="32" spans="2:31" x14ac:dyDescent="0.3">
      <c r="B32" s="27" t="s">
        <v>67</v>
      </c>
      <c r="C32" s="7" t="s">
        <v>69</v>
      </c>
      <c r="D32" s="12">
        <f>[29]Main!$D$3</f>
        <v>7.93</v>
      </c>
      <c r="E32" s="8">
        <f>[29]Main!$D$5</f>
        <v>13451.659</v>
      </c>
      <c r="F32" s="8">
        <f>[29]Main!$D$8</f>
        <v>-267.69999999999982</v>
      </c>
      <c r="G32" s="8">
        <f>[29]Main!$D$9</f>
        <v>13719.359</v>
      </c>
      <c r="H32" s="8">
        <f>[29]Model!AQ15</f>
        <v>-697.69999999999982</v>
      </c>
      <c r="I32" s="8">
        <f>[29]Model!AR15</f>
        <v>-256.86973999999924</v>
      </c>
      <c r="J32" s="8">
        <f>[29]Model!AS15</f>
        <v>-42.118379839999193</v>
      </c>
      <c r="K32" s="8">
        <f>[29]Model!AT15</f>
        <v>125.97534720256085</v>
      </c>
      <c r="L32" s="8">
        <f>[29]Model!AU15</f>
        <v>217.46516903044258</v>
      </c>
      <c r="M32" s="9"/>
      <c r="N32" s="9"/>
      <c r="O32" s="9"/>
      <c r="P32" s="9">
        <f t="shared" ref="P32:Q42" si="17">$G32/K32</f>
        <v>108.90510964768438</v>
      </c>
      <c r="Q32" s="9">
        <f t="shared" si="17"/>
        <v>63.087615645149363</v>
      </c>
      <c r="R32" s="9">
        <f>G32/[29]Model!$BB$15</f>
        <v>24.344254838275813</v>
      </c>
      <c r="S32" s="10">
        <f>[29]Model!$AQ$3</f>
        <v>5361.4</v>
      </c>
      <c r="T32" s="11">
        <f>[29]Model!AP$19</f>
        <v>9.561475944195319E-4</v>
      </c>
      <c r="U32" s="11">
        <f>[29]Model!AQ$19</f>
        <v>0.16395293300334335</v>
      </c>
      <c r="V32" s="11"/>
      <c r="W32" s="11"/>
      <c r="X32" s="11">
        <f>[29]Model!$BE$22</f>
        <v>0.08</v>
      </c>
      <c r="Y32" s="11">
        <f>[29]Model!$BE$53</f>
        <v>-0.28652956601637836</v>
      </c>
      <c r="Z32" s="7" t="s">
        <v>184</v>
      </c>
      <c r="AA32" s="7" t="s">
        <v>54</v>
      </c>
      <c r="AB32" s="7">
        <v>2011</v>
      </c>
      <c r="AD32" s="17">
        <f>[29]Main!$E$3</f>
        <v>45751</v>
      </c>
      <c r="AE32" s="17">
        <f>[29]Main!$G$3</f>
        <v>45771</v>
      </c>
    </row>
    <row r="33" spans="2:31" x14ac:dyDescent="0.3">
      <c r="B33" s="27" t="s">
        <v>39</v>
      </c>
      <c r="C33" s="7" t="s">
        <v>40</v>
      </c>
      <c r="D33" s="12">
        <f>[30]Main!$D$3</f>
        <v>73.25</v>
      </c>
      <c r="E33" s="8">
        <f>[30]Main!$D$5</f>
        <v>22458.45</v>
      </c>
      <c r="F33" s="8">
        <f>[30]Main!$D$8</f>
        <v>8383.2000000000007</v>
      </c>
      <c r="G33" s="8">
        <f>[30]Main!$D$9</f>
        <v>14075.25</v>
      </c>
      <c r="H33" s="8">
        <f>[30]Model!AP14</f>
        <v>1009.8999999999994</v>
      </c>
      <c r="I33" s="8">
        <f>[30]Model!AQ14</f>
        <v>984.13692099999992</v>
      </c>
      <c r="J33" s="8">
        <f>[30]Model!AR14</f>
        <v>1020.4692323920002</v>
      </c>
      <c r="K33" s="8">
        <f>[30]Model!AS14</f>
        <v>1013.2984622599199</v>
      </c>
      <c r="L33" s="8">
        <f>[30]Model!AT14</f>
        <v>1012.8674818394792</v>
      </c>
      <c r="M33" s="9">
        <f t="shared" ref="M33:O35" si="18">$G33/H33</f>
        <v>13.937271016932378</v>
      </c>
      <c r="N33" s="9">
        <f t="shared" si="18"/>
        <v>14.302125750650504</v>
      </c>
      <c r="O33" s="9">
        <f t="shared" si="18"/>
        <v>13.792919524881052</v>
      </c>
      <c r="P33" s="9">
        <f t="shared" si="17"/>
        <v>13.890527346314649</v>
      </c>
      <c r="Q33" s="9">
        <f t="shared" si="17"/>
        <v>13.896437838479908</v>
      </c>
      <c r="R33" s="9">
        <f>G33/[30]Model!$AZ$14</f>
        <v>13.091073052746273</v>
      </c>
      <c r="S33" s="10">
        <f>[30]Model!$AP$3</f>
        <v>4665.2999999999993</v>
      </c>
      <c r="T33" s="11">
        <f>[30]Model!AO$18</f>
        <v>3.0571363532893248E-2</v>
      </c>
      <c r="U33" s="11">
        <f>[30]Model!AP$18</f>
        <v>3.0481744085878892E-2</v>
      </c>
      <c r="V33" s="11"/>
      <c r="W33" s="11"/>
      <c r="X33" s="11">
        <f>[30]Model!$BC$21</f>
        <v>0.08</v>
      </c>
      <c r="Y33" s="11">
        <f>[30]Model!$BC$27</f>
        <v>-7.5975386540388157E-2</v>
      </c>
      <c r="Z33" s="7" t="str">
        <f>[30]Model!$BC$28</f>
        <v>Fairly valued</v>
      </c>
      <c r="AA33" s="7" t="s">
        <v>54</v>
      </c>
      <c r="AB33" s="7">
        <v>2011</v>
      </c>
      <c r="AD33" s="17">
        <f>[30]Main!$E$3</f>
        <v>45751</v>
      </c>
      <c r="AE33" s="17">
        <f>[30]Main!$G$3</f>
        <v>45803</v>
      </c>
    </row>
    <row r="34" spans="2:31" x14ac:dyDescent="0.3">
      <c r="B34" s="6" t="s">
        <v>160</v>
      </c>
      <c r="C34" s="7" t="s">
        <v>161</v>
      </c>
      <c r="D34" s="12">
        <f>[31]Main!$D$3</f>
        <v>310.01</v>
      </c>
      <c r="E34" s="8">
        <f>[31]Main!$D$5</f>
        <v>13919.448999999999</v>
      </c>
      <c r="F34" s="8">
        <f>[31]Main!$D$8</f>
        <v>785.8</v>
      </c>
      <c r="G34" s="8">
        <f>[31]Main!$D$9</f>
        <v>13133.648999999999</v>
      </c>
      <c r="H34" s="8">
        <f>[31]Model!AC$15</f>
        <v>88.699999999999974</v>
      </c>
      <c r="I34" s="8">
        <f>[31]Model!AD$15</f>
        <v>117.56309199999988</v>
      </c>
      <c r="J34" s="8">
        <f>[31]Model!AE$15</f>
        <v>181.39875499999997</v>
      </c>
      <c r="K34" s="8">
        <f>[31]Model!AF$15</f>
        <v>266.05404514999987</v>
      </c>
      <c r="L34" s="8">
        <f>[31]Model!AG$15</f>
        <v>349.6044035974997</v>
      </c>
      <c r="M34" s="9">
        <f t="shared" si="18"/>
        <v>148.06819616685459</v>
      </c>
      <c r="N34" s="9">
        <f t="shared" ref="N34" si="19">$G34/I34</f>
        <v>111.71575004168835</v>
      </c>
      <c r="O34" s="9">
        <f t="shared" ref="O34" si="20">$G34/J34</f>
        <v>72.402090080496976</v>
      </c>
      <c r="P34" s="9">
        <f t="shared" si="17"/>
        <v>49.364590538720499</v>
      </c>
      <c r="Q34" s="9">
        <f t="shared" si="17"/>
        <v>37.567172681042081</v>
      </c>
      <c r="R34" s="9">
        <f>G34/[31]Model!$AN$43</f>
        <v>14.533616159343467</v>
      </c>
      <c r="S34" s="10">
        <f>[31]Model!$AC$3</f>
        <v>748.1</v>
      </c>
      <c r="T34" s="11">
        <f>[31]Model!$AB$19</f>
        <v>0.43734776725304458</v>
      </c>
      <c r="U34" s="11">
        <f>[31]Model!$AC$19</f>
        <v>0.40858595368103923</v>
      </c>
      <c r="V34" s="11">
        <f>[31]Model!$AC$20</f>
        <v>0.72784387114022187</v>
      </c>
      <c r="W34" s="11">
        <f>[31]Model!$AC$24</f>
        <v>8.381232455554069E-2</v>
      </c>
      <c r="X34" s="11">
        <f>[31]Model!$AR$22</f>
        <v>0.08</v>
      </c>
      <c r="Y34" s="11">
        <f>[31]Model!$AR$28</f>
        <v>-0.48276090564846819</v>
      </c>
      <c r="Z34" s="7" t="str">
        <f>[31]Model!$AR$29</f>
        <v>Overvalued</v>
      </c>
      <c r="AA34" s="7" t="s">
        <v>54</v>
      </c>
      <c r="AB34" s="7">
        <v>2011</v>
      </c>
      <c r="AD34" s="17">
        <f>[31]Main!$E$3</f>
        <v>45751</v>
      </c>
      <c r="AE34" s="17">
        <f>[31]Main!$G$3</f>
        <v>45784</v>
      </c>
    </row>
    <row r="35" spans="2:31" x14ac:dyDescent="0.3">
      <c r="B35" s="27" t="s">
        <v>137</v>
      </c>
      <c r="C35" s="7" t="s">
        <v>138</v>
      </c>
      <c r="D35" s="12">
        <f>[32]Main!$D$3</f>
        <v>10.36</v>
      </c>
      <c r="E35" s="8">
        <f>[32]Main!$D$5</f>
        <v>11270.644</v>
      </c>
      <c r="F35" s="8">
        <f>[32]Main!$D$8</f>
        <v>1512.4000000000005</v>
      </c>
      <c r="G35" s="8">
        <f>[32]Main!$D$9</f>
        <v>9758.2439999999988</v>
      </c>
      <c r="H35" s="8">
        <f>[32]Model!Z17</f>
        <v>303.49784900000031</v>
      </c>
      <c r="I35" s="8">
        <f>[32]Model!AA17</f>
        <v>456.92357161199971</v>
      </c>
      <c r="J35" s="8">
        <f>[32]Model!AB17</f>
        <v>568.85512020544002</v>
      </c>
      <c r="K35" s="8">
        <f>[32]Model!AC17</f>
        <v>620.25302472713383</v>
      </c>
      <c r="L35" s="8">
        <f>[32]Model!AD17</f>
        <v>716.54640673339497</v>
      </c>
      <c r="M35" s="9">
        <f t="shared" si="18"/>
        <v>32.152596903578015</v>
      </c>
      <c r="N35" s="9">
        <f t="shared" si="18"/>
        <v>21.356403141062483</v>
      </c>
      <c r="O35" s="9">
        <f t="shared" si="18"/>
        <v>17.154181536549839</v>
      </c>
      <c r="P35" s="9">
        <f t="shared" si="17"/>
        <v>15.732682648815643</v>
      </c>
      <c r="Q35" s="9">
        <f t="shared" si="17"/>
        <v>13.61843965485231</v>
      </c>
      <c r="R35" s="9">
        <f>G35/[32]Model!$AJ$17</f>
        <v>11.668580167198515</v>
      </c>
      <c r="S35" s="10">
        <f>[32]Model!$Y$7</f>
        <v>3766.2000000000003</v>
      </c>
      <c r="T35" s="11">
        <f>[32]Model!X$24</f>
        <v>0.65216157948485232</v>
      </c>
      <c r="U35" s="11">
        <f>[32]Model!Y$24</f>
        <v>0.29329349953641692</v>
      </c>
      <c r="V35" s="11"/>
      <c r="W35" s="11"/>
      <c r="X35" s="11">
        <f>[32]Model!$AN$23</f>
        <v>0.08</v>
      </c>
      <c r="Y35" s="11">
        <f>[32]Model!$AN$29</f>
        <v>-0.1126517168571709</v>
      </c>
      <c r="Z35" s="7" t="str">
        <f>[32]Model!$AN$30</f>
        <v>Slightly overvalued</v>
      </c>
      <c r="AA35" s="7" t="s">
        <v>94</v>
      </c>
      <c r="AB35" s="7">
        <v>2011</v>
      </c>
      <c r="AD35" s="17">
        <f>[32]Main!$E$3</f>
        <v>45751</v>
      </c>
      <c r="AE35" s="17">
        <f>[32]Main!$G$3</f>
        <v>45782</v>
      </c>
    </row>
    <row r="36" spans="2:31" x14ac:dyDescent="0.3">
      <c r="B36" s="27" t="s">
        <v>171</v>
      </c>
      <c r="C36" s="7" t="s">
        <v>172</v>
      </c>
      <c r="D36" s="12">
        <f>[33]Main!$D$3</f>
        <v>18.190000000000001</v>
      </c>
      <c r="E36" s="8">
        <f>[33]Main!$D$5</f>
        <v>10702.996000000003</v>
      </c>
      <c r="F36" s="8">
        <f>[33]Main!$D$8</f>
        <v>988.9</v>
      </c>
      <c r="G36" s="8">
        <f>[33]Main!$D$9</f>
        <v>9714.0960000000032</v>
      </c>
      <c r="H36" s="8">
        <f>[33]Model!X$19</f>
        <v>-10.800000000000004</v>
      </c>
      <c r="I36" s="8">
        <f>[33]Model!Y$19</f>
        <v>5.5730699999999729</v>
      </c>
      <c r="J36" s="8">
        <f>[33]Model!Z$19</f>
        <v>249.4996469999999</v>
      </c>
      <c r="K36" s="8">
        <f>[33]Model!AA$19</f>
        <v>416.75847354000007</v>
      </c>
      <c r="L36" s="8">
        <f>[33]Model!AB$19</f>
        <v>549.03854741579983</v>
      </c>
      <c r="M36" s="9"/>
      <c r="N36" s="9">
        <f>$G36/I36</f>
        <v>1743.0421652697796</v>
      </c>
      <c r="O36" s="9">
        <f>$G36/J36</f>
        <v>38.934307590423195</v>
      </c>
      <c r="P36" s="9">
        <f t="shared" si="17"/>
        <v>23.308694643895834</v>
      </c>
      <c r="Q36" s="9">
        <f t="shared" si="17"/>
        <v>17.69292164588817</v>
      </c>
      <c r="R36" s="9">
        <f>G36/[33]Model!$AI$19</f>
        <v>9.0510651452828554</v>
      </c>
      <c r="S36" s="10">
        <f>[33]Model!$X$6</f>
        <v>1800.3999999999999</v>
      </c>
      <c r="T36" s="11">
        <f>[33]Model!W$26</f>
        <v>0.98365076689701625</v>
      </c>
      <c r="U36" s="11">
        <f>[33]Model!X$26</f>
        <v>0.52978162970515763</v>
      </c>
      <c r="V36" s="11"/>
      <c r="W36" s="11"/>
      <c r="X36" s="11">
        <f>[33]Model!$AM$25</f>
        <v>0.08</v>
      </c>
      <c r="Y36" s="11">
        <f>[33]Model!$AM$31</f>
        <v>-3.9690812656469676E-2</v>
      </c>
      <c r="Z36" s="7" t="str">
        <f>[33]Model!$AM$32</f>
        <v>Fairly valued</v>
      </c>
      <c r="AA36" s="7" t="s">
        <v>173</v>
      </c>
      <c r="AB36" s="7">
        <v>2020</v>
      </c>
      <c r="AD36" s="17">
        <f>[33]Main!$E$3</f>
        <v>45751</v>
      </c>
      <c r="AE36" s="17">
        <f>[33]Main!$G$3</f>
        <v>45782</v>
      </c>
    </row>
    <row r="37" spans="2:31" x14ac:dyDescent="0.3">
      <c r="B37" s="27" t="s">
        <v>104</v>
      </c>
      <c r="C37" s="7" t="s">
        <v>105</v>
      </c>
      <c r="D37" s="12">
        <f>[34]Main!$D$3</f>
        <v>71.540000000000006</v>
      </c>
      <c r="E37" s="8">
        <f>[34]Main!$D$5</f>
        <v>10673.768</v>
      </c>
      <c r="F37" s="8">
        <f>[34]Main!$D$8</f>
        <v>1502.8</v>
      </c>
      <c r="G37" s="8">
        <f>[34]Main!$D$9</f>
        <v>9170.9680000000008</v>
      </c>
      <c r="H37" s="8">
        <f>[34]Model!AR$18</f>
        <v>618.58199999999965</v>
      </c>
      <c r="I37" s="8">
        <f>[34]Model!AS$18</f>
        <v>711.36306362499977</v>
      </c>
      <c r="J37" s="8">
        <f>[34]Model!AT$18</f>
        <v>801.23706914000013</v>
      </c>
      <c r="K37" s="8">
        <f>[34]Model!AU$18</f>
        <v>825.12573710620006</v>
      </c>
      <c r="L37" s="8">
        <f>[34]Model!AV$18</f>
        <v>838.96848049124037</v>
      </c>
      <c r="M37" s="9">
        <f>$G37/H37</f>
        <v>14.825791891778303</v>
      </c>
      <c r="N37" s="9">
        <f>$G37/I37</f>
        <v>12.892105970847178</v>
      </c>
      <c r="O37" s="9">
        <f>$G37/J37</f>
        <v>11.446010616862209</v>
      </c>
      <c r="P37" s="9">
        <f t="shared" si="17"/>
        <v>11.114630883001563</v>
      </c>
      <c r="Q37" s="9">
        <f t="shared" si="17"/>
        <v>10.931242607147926</v>
      </c>
      <c r="R37" s="9">
        <f>G37/[34]Model!$BB$18</f>
        <v>9.6950275566938195</v>
      </c>
      <c r="S37" s="10">
        <f>[34]Model!$AR$3</f>
        <v>4606.5749999999998</v>
      </c>
      <c r="T37" s="11">
        <f>[34]Model!AQ$22</f>
        <v>-5.2964374628214017E-2</v>
      </c>
      <c r="U37" s="11">
        <f>[34]Model!AR$22</f>
        <v>7.1670350122135629E-2</v>
      </c>
      <c r="V37" s="11">
        <f>[34]Model!$AR$23</f>
        <v>0.4344687756087765</v>
      </c>
      <c r="W37" s="11">
        <f>[34]Model!$AR$24</f>
        <v>0.15152309470702194</v>
      </c>
      <c r="X37" s="11">
        <f>[34]Model!$BE$25</f>
        <v>0.08</v>
      </c>
      <c r="Y37" s="11">
        <f>[34]Model!$BE$31</f>
        <v>0.10377013281789149</v>
      </c>
      <c r="Z37" s="7" t="str">
        <f>[34]Model!$BE$32</f>
        <v>Slightly undervalued</v>
      </c>
      <c r="AA37" s="7" t="s">
        <v>84</v>
      </c>
      <c r="AB37" s="7">
        <v>1981</v>
      </c>
      <c r="AD37" s="17">
        <f>[34]Main!$E$3</f>
        <v>45751</v>
      </c>
      <c r="AE37" s="17">
        <f>[34]Main!$G$3</f>
        <v>45782</v>
      </c>
    </row>
    <row r="38" spans="2:31" x14ac:dyDescent="0.3">
      <c r="B38" s="29" t="s">
        <v>191</v>
      </c>
      <c r="C38" s="7" t="s">
        <v>192</v>
      </c>
      <c r="D38" s="12">
        <f>[35]Main!$D$3</f>
        <v>73.5</v>
      </c>
      <c r="E38" s="8">
        <f>[35]Main!$D$5</f>
        <v>6548.8499999999995</v>
      </c>
      <c r="F38" s="8">
        <f>[35]Main!$D$8</f>
        <v>-1629.1</v>
      </c>
      <c r="G38" s="8">
        <f>[35]Main!$D$9</f>
        <v>8177.9499999999989</v>
      </c>
      <c r="H38" s="8">
        <f>[35]Model!Z$23</f>
        <v>199.2000000000003</v>
      </c>
      <c r="I38" s="8">
        <f>[35]Model!AA$23</f>
        <v>238.72730960000027</v>
      </c>
      <c r="J38" s="8">
        <f>[35]Model!AB$23</f>
        <v>504.26543477760021</v>
      </c>
      <c r="K38" s="8">
        <f>[35]Model!AC$23</f>
        <v>599.2175455562882</v>
      </c>
      <c r="L38" s="8">
        <f>[35]Model!AD$23</f>
        <v>674.82399552379991</v>
      </c>
      <c r="M38" s="9">
        <f t="shared" ref="M38:O38" si="21">$G38/H38</f>
        <v>41.053965863453747</v>
      </c>
      <c r="N38" s="9">
        <f t="shared" si="21"/>
        <v>34.256449392834732</v>
      </c>
      <c r="O38" s="9">
        <f t="shared" si="21"/>
        <v>16.217550194783385</v>
      </c>
      <c r="P38" s="9">
        <f t="shared" si="17"/>
        <v>13.647714524794058</v>
      </c>
      <c r="Q38" s="9">
        <f t="shared" si="17"/>
        <v>12.118641385376725</v>
      </c>
      <c r="R38" s="9">
        <f>G38/[35]Model!$AK$23</f>
        <v>8.6198856862153121</v>
      </c>
      <c r="S38" s="10">
        <f>[35]Model!$Z$3</f>
        <v>3330.6000000000004</v>
      </c>
      <c r="T38" s="11"/>
      <c r="U38" s="11">
        <f>[35]Model!$Z$27</f>
        <v>0.29858078602620086</v>
      </c>
      <c r="V38" s="11">
        <f>[35]Model!$Z$28</f>
        <v>0.29216957905482505</v>
      </c>
      <c r="W38" s="11">
        <f>[35]Model!$Z$32</f>
        <v>7.4160811865729995E-2</v>
      </c>
      <c r="X38" s="11">
        <f>[35]Model!$AO$30</f>
        <v>0.09</v>
      </c>
      <c r="Y38" s="11">
        <f>[35]Model!$AO$36</f>
        <v>5.2231953691133093E-3</v>
      </c>
      <c r="Z38" s="7" t="str">
        <f>[35]Model!$AO$37</f>
        <v>Fairly valued</v>
      </c>
      <c r="AA38" s="7" t="s">
        <v>94</v>
      </c>
      <c r="AB38" s="7">
        <v>1999</v>
      </c>
      <c r="AD38" s="17">
        <f>[35]Main!$E$3</f>
        <v>45756</v>
      </c>
      <c r="AE38" s="17">
        <f>[35]Main!$G$3</f>
        <v>45778</v>
      </c>
    </row>
    <row r="39" spans="2:31" x14ac:dyDescent="0.3">
      <c r="B39" s="27" t="s">
        <v>71</v>
      </c>
      <c r="C39" s="7" t="s">
        <v>72</v>
      </c>
      <c r="D39" s="12">
        <f>[36]Main!$D$3</f>
        <v>60</v>
      </c>
      <c r="E39" s="8">
        <f>[36]Main!$D$5</f>
        <v>8753.9999999999982</v>
      </c>
      <c r="F39" s="8">
        <f>[36]Main!$D$8</f>
        <v>2058.5</v>
      </c>
      <c r="G39" s="8">
        <f>[36]Main!$D$9</f>
        <v>6695.4999999999982</v>
      </c>
      <c r="H39" s="8">
        <f>[36]Model!AP18</f>
        <v>-129.40000000000018</v>
      </c>
      <c r="I39" s="8">
        <f>[36]Model!AQ18</f>
        <v>11.911727999999531</v>
      </c>
      <c r="J39" s="8">
        <f>[36]Model!AR18</f>
        <v>221.74054400000037</v>
      </c>
      <c r="K39" s="8">
        <f>[36]Model!AS18</f>
        <v>367.46020472000026</v>
      </c>
      <c r="L39" s="8">
        <f>[36]Model!AT18</f>
        <v>490.2996515480005</v>
      </c>
      <c r="M39" s="9"/>
      <c r="N39" s="9"/>
      <c r="O39" s="9">
        <f>$G39/J39</f>
        <v>30.195199665425132</v>
      </c>
      <c r="P39" s="9">
        <f t="shared" si="17"/>
        <v>18.221020709172791</v>
      </c>
      <c r="Q39" s="9">
        <f t="shared" si="17"/>
        <v>13.655934649067371</v>
      </c>
      <c r="R39" s="9">
        <f>G39/[36]Model!$BA$18</f>
        <v>10.030859249221578</v>
      </c>
      <c r="S39" s="10">
        <f>[36]Model!$AP$5</f>
        <v>4112.7</v>
      </c>
      <c r="T39" s="11">
        <f>[36]Model!AO$24</f>
        <v>0.11452969584546024</v>
      </c>
      <c r="U39" s="11">
        <f>[36]Model!AP$24</f>
        <v>0.18018250688705217</v>
      </c>
      <c r="V39" s="11"/>
      <c r="W39" s="11"/>
      <c r="X39" s="11">
        <f>[36]Model!$BD$26</f>
        <v>0.09</v>
      </c>
      <c r="Y39" s="11">
        <f>[36]Model!$BD$32</f>
        <v>-0.19948232694771839</v>
      </c>
      <c r="Z39" s="7" t="str">
        <f>[36]Model!$BD$33</f>
        <v>Slightly overvalued</v>
      </c>
      <c r="AA39" s="7" t="s">
        <v>52</v>
      </c>
      <c r="AB39" s="7">
        <v>2002</v>
      </c>
      <c r="AD39" s="17">
        <f>[36]Main!$E$3</f>
        <v>45751</v>
      </c>
      <c r="AE39" s="17">
        <f>[36]Main!$G$3</f>
        <v>45771</v>
      </c>
    </row>
    <row r="40" spans="2:31" x14ac:dyDescent="0.3">
      <c r="B40" s="27" t="s">
        <v>197</v>
      </c>
      <c r="C40" s="7" t="s">
        <v>198</v>
      </c>
      <c r="D40" s="12">
        <f>[37]Main!$D$3</f>
        <v>139.97999999999999</v>
      </c>
      <c r="E40" s="8">
        <f>[37]Main!$D$5</f>
        <v>6089.1299999999992</v>
      </c>
      <c r="F40" s="8">
        <f>[37]Main!$D$8</f>
        <v>301.89999999999998</v>
      </c>
      <c r="G40" s="8">
        <f>[37]Main!$D$9</f>
        <v>5787.23</v>
      </c>
      <c r="H40" s="8"/>
      <c r="I40" s="8"/>
      <c r="J40" s="8"/>
      <c r="K40" s="8"/>
      <c r="L40" s="8"/>
      <c r="M40" s="9"/>
      <c r="N40" s="9"/>
      <c r="O40" s="9"/>
      <c r="P40" s="9"/>
      <c r="Q40" s="9"/>
      <c r="R40" s="9"/>
      <c r="T40" s="11"/>
      <c r="U40" s="11"/>
      <c r="V40" s="11"/>
      <c r="W40" s="11"/>
      <c r="X40" s="11"/>
      <c r="Y40" s="11"/>
      <c r="AA40" s="7" t="s">
        <v>94</v>
      </c>
      <c r="AB40" s="7">
        <v>2000</v>
      </c>
      <c r="AD40" s="17">
        <f>[37]Main!$E$3</f>
        <v>45772</v>
      </c>
      <c r="AE40" s="17">
        <f>[37]Main!$G$3</f>
        <v>45776</v>
      </c>
    </row>
    <row r="41" spans="2:31" x14ac:dyDescent="0.3">
      <c r="B41" s="27" t="s">
        <v>61</v>
      </c>
      <c r="C41" s="7" t="s">
        <v>62</v>
      </c>
      <c r="D41" s="12">
        <f>[38]Main!$D$3</f>
        <v>21.94</v>
      </c>
      <c r="E41" s="8">
        <f>[38]Main!$D$5</f>
        <v>9809.3740000000016</v>
      </c>
      <c r="F41" s="8">
        <f>[38]Main!$D$8</f>
        <v>4758</v>
      </c>
      <c r="G41" s="8">
        <f>[38]Main!$D$9</f>
        <v>5051.3740000000016</v>
      </c>
      <c r="H41" s="8">
        <f>[38]Model!BO$15</f>
        <v>131.19999999999953</v>
      </c>
      <c r="I41" s="8">
        <f>[38]Model!BP$15</f>
        <v>220.19491199999987</v>
      </c>
      <c r="J41" s="8">
        <f>[38]Model!BQ$15</f>
        <v>363.49176903200004</v>
      </c>
      <c r="K41" s="8">
        <f>[38]Model!BR$15</f>
        <v>403.39831621091969</v>
      </c>
      <c r="L41" s="8">
        <f>[38]Model!BS$15</f>
        <v>413.39704472070275</v>
      </c>
      <c r="M41" s="9">
        <f t="shared" ref="M41:O42" si="22">$G41/H41</f>
        <v>38.501326219512343</v>
      </c>
      <c r="N41" s="9">
        <f t="shared" si="22"/>
        <v>22.940466489979588</v>
      </c>
      <c r="O41" s="9">
        <f t="shared" si="22"/>
        <v>13.896804358052199</v>
      </c>
      <c r="P41" s="9">
        <f t="shared" si="17"/>
        <v>12.522050283816393</v>
      </c>
      <c r="Q41" s="9">
        <f t="shared" si="17"/>
        <v>12.219182658678138</v>
      </c>
      <c r="R41" s="9">
        <f>G41/[38]Model!$BV$15</f>
        <v>11.42105550261617</v>
      </c>
      <c r="S41" s="10">
        <f>[38]Model!$BO$6</f>
        <v>3823</v>
      </c>
      <c r="T41" s="11">
        <f>[38]Model!$BN$22</f>
        <v>-0.11034622393197013</v>
      </c>
      <c r="U41" s="11">
        <f>[38]Model!$BO$22</f>
        <v>-0.27495827643756632</v>
      </c>
      <c r="V41" s="11">
        <f>[38]Model!$BO$23</f>
        <v>0.2913680355741563</v>
      </c>
      <c r="W41" s="11">
        <f>[38]Model!$BO$24</f>
        <v>-6.8532566047607782E-3</v>
      </c>
      <c r="X41" s="11">
        <f>[38]Model!$CC$30</f>
        <v>0.08</v>
      </c>
      <c r="Y41" s="11">
        <f>[38]Model!$CC$36</f>
        <v>9.1688418573467878E-3</v>
      </c>
      <c r="Z41" s="7" t="str">
        <f>[38]Model!$CC$37</f>
        <v>Fairly valued</v>
      </c>
      <c r="AA41" s="7" t="s">
        <v>52</v>
      </c>
      <c r="AB41" s="7">
        <v>1984</v>
      </c>
      <c r="AD41" s="17">
        <f>[38]Main!$E$3</f>
        <v>45751</v>
      </c>
      <c r="AE41" s="17">
        <f>[38]Main!$G$3</f>
        <v>45812</v>
      </c>
    </row>
    <row r="42" spans="2:31" x14ac:dyDescent="0.3">
      <c r="B42" s="27" t="s">
        <v>167</v>
      </c>
      <c r="C42" s="7" t="s">
        <v>168</v>
      </c>
      <c r="D42" s="12">
        <f>[39]Main!$D$3</f>
        <v>171.45</v>
      </c>
      <c r="E42" s="8">
        <f>[39]Main!$D$5</f>
        <v>5023.4849999999997</v>
      </c>
      <c r="F42" s="8">
        <f>[39]Main!$D$8</f>
        <v>639.6</v>
      </c>
      <c r="G42" s="8">
        <f>[39]Main!$D$9</f>
        <v>4383.8849999999993</v>
      </c>
      <c r="H42" s="8">
        <f>[39]Model!AC$18</f>
        <v>183.79999999999995</v>
      </c>
      <c r="I42" s="8">
        <f>[39]Model!AD$18</f>
        <v>250.85972649999991</v>
      </c>
      <c r="J42" s="8">
        <f>[39]Model!AE$18</f>
        <v>300.14029992000007</v>
      </c>
      <c r="K42" s="8">
        <f>[39]Model!AF$18</f>
        <v>353.83407365279999</v>
      </c>
      <c r="L42" s="8">
        <f>[39]Model!AG$18</f>
        <v>396.42219656109609</v>
      </c>
      <c r="M42" s="9">
        <f t="shared" si="22"/>
        <v>23.851387377584334</v>
      </c>
      <c r="N42" s="9">
        <f t="shared" si="22"/>
        <v>17.475443592178202</v>
      </c>
      <c r="O42" s="9">
        <f t="shared" si="22"/>
        <v>14.606119208811638</v>
      </c>
      <c r="P42" s="9">
        <f t="shared" si="17"/>
        <v>12.389663196489353</v>
      </c>
      <c r="Q42" s="9">
        <f t="shared" si="17"/>
        <v>11.058626479620852</v>
      </c>
      <c r="R42" s="9">
        <f>G42/[39]Model!$AN$18</f>
        <v>8.235041882378626</v>
      </c>
      <c r="S42" s="10">
        <f>[39]Model!$AC$5</f>
        <v>672.3</v>
      </c>
      <c r="T42" s="11">
        <f>[39]Model!AB$24</f>
        <v>-9.2676944639103032E-2</v>
      </c>
      <c r="U42" s="11">
        <f>[39]Model!AC$24</f>
        <v>0.29812705155435415</v>
      </c>
      <c r="V42" s="11"/>
      <c r="W42" s="11"/>
      <c r="X42" s="11">
        <f>[39]Model!$AR$25</f>
        <v>0.09</v>
      </c>
      <c r="Y42" s="11">
        <f>[39]Model!$AR$31</f>
        <v>8.4812741052432195E-2</v>
      </c>
      <c r="Z42" s="7" t="str">
        <f>[39]Model!$AR$32</f>
        <v>Fairly valued</v>
      </c>
      <c r="AA42" s="7" t="s">
        <v>55</v>
      </c>
      <c r="AB42" s="7">
        <v>1993</v>
      </c>
      <c r="AD42" s="17">
        <f>[39]Main!$E$3</f>
        <v>45751</v>
      </c>
      <c r="AE42" s="17">
        <f>[39]Main!$G$3</f>
        <v>45785</v>
      </c>
    </row>
    <row r="43" spans="2:31" x14ac:dyDescent="0.3">
      <c r="B43" s="28" t="s">
        <v>175</v>
      </c>
      <c r="C43" s="7" t="s">
        <v>176</v>
      </c>
      <c r="D43" s="12">
        <f>[40]Main!$D$3</f>
        <v>22.57</v>
      </c>
      <c r="E43" s="8">
        <f>[40]Main!$D$5</f>
        <v>4918.0030000000006</v>
      </c>
      <c r="F43" s="8">
        <f>[40]Main!$D$8</f>
        <v>364.29999999999995</v>
      </c>
      <c r="G43" s="8">
        <f>[40]Main!$D$9</f>
        <v>4553.7030000000004</v>
      </c>
      <c r="H43" s="8">
        <f>[40]Model!AA$18</f>
        <v>-331.7</v>
      </c>
      <c r="I43" s="8">
        <f>[40]Model!AB$18</f>
        <v>-240.65150000000003</v>
      </c>
      <c r="J43" s="8">
        <f>[40]Model!AC$18</f>
        <v>-249.37895000000003</v>
      </c>
      <c r="K43" s="8">
        <f>[40]Model!AD$18</f>
        <v>-234.94165740000014</v>
      </c>
      <c r="L43" s="8">
        <f>[40]Model!AE$18</f>
        <v>-201.95642231800011</v>
      </c>
      <c r="M43" s="9"/>
      <c r="N43" s="9"/>
      <c r="O43" s="9"/>
      <c r="P43" s="9"/>
      <c r="Q43" s="9"/>
      <c r="R43" s="9">
        <f>G43/[40]Model!$AL$18</f>
        <v>9.6482710670175837</v>
      </c>
      <c r="S43" s="10">
        <f>[40]Model!$AA$3</f>
        <v>43.099999999999994</v>
      </c>
      <c r="T43" s="11">
        <f>[40]Model!Z$22</f>
        <v>0.96428571428571441</v>
      </c>
      <c r="U43" s="11">
        <f>[40]Model!AA$22</f>
        <v>0.95909090909090877</v>
      </c>
      <c r="V43" s="11"/>
      <c r="W43" s="11"/>
      <c r="X43" s="11">
        <f>[40]Model!$AP$24</f>
        <v>0.09</v>
      </c>
      <c r="Y43" s="11">
        <f>[40]Model!$AP$30</f>
        <v>-0.68463910360246483</v>
      </c>
      <c r="Z43" s="7" t="str">
        <f>[40]Model!$AP$31</f>
        <v>Heavily overvalued</v>
      </c>
      <c r="AA43" s="7" t="s">
        <v>177</v>
      </c>
      <c r="AB43" s="7">
        <v>2015</v>
      </c>
      <c r="AD43" s="17">
        <f>[40]Main!$E$3</f>
        <v>45729</v>
      </c>
      <c r="AE43" s="17">
        <f>[40]Main!$G$3</f>
        <v>45804</v>
      </c>
    </row>
    <row r="44" spans="2:31" x14ac:dyDescent="0.3">
      <c r="B44" s="25" t="s">
        <v>118</v>
      </c>
      <c r="C44" s="7" t="s">
        <v>119</v>
      </c>
      <c r="D44" s="21">
        <f>[41]Main!$D$3</f>
        <v>8.98</v>
      </c>
      <c r="E44" s="8">
        <f>[41]Main!$D$5</f>
        <v>9241.3179999999993</v>
      </c>
      <c r="F44" s="8">
        <f>[41]Main!$D$8</f>
        <v>4869.2</v>
      </c>
      <c r="G44" s="8">
        <f>[41]Main!$D$9</f>
        <v>4372.1179999999995</v>
      </c>
      <c r="H44" s="8">
        <f>[41]Model!R25</f>
        <v>473.03391999999985</v>
      </c>
      <c r="I44" s="8">
        <f>[41]Model!S25</f>
        <v>534.5631527999999</v>
      </c>
      <c r="J44" s="8">
        <f>[41]Model!T25</f>
        <v>578.60699919000012</v>
      </c>
      <c r="K44" s="8">
        <f>[41]Model!U25</f>
        <v>611.49006039330015</v>
      </c>
      <c r="L44" s="8">
        <f>[41]Model!V25</f>
        <v>639.76869922577112</v>
      </c>
      <c r="M44" s="9">
        <f t="shared" ref="M44:Q48" si="23">$G44/H44</f>
        <v>9.2427156175185079</v>
      </c>
      <c r="N44" s="9">
        <f t="shared" si="23"/>
        <v>8.1788615191660483</v>
      </c>
      <c r="O44" s="9">
        <f t="shared" si="23"/>
        <v>7.5562825996239029</v>
      </c>
      <c r="P44" s="9">
        <f t="shared" si="23"/>
        <v>7.149941238926969</v>
      </c>
      <c r="Q44" s="9">
        <f t="shared" si="23"/>
        <v>6.8339041989566001</v>
      </c>
      <c r="R44" s="9">
        <f>G44/[41]Model!$AB$25</f>
        <v>5.8821043501978698</v>
      </c>
      <c r="S44" s="19">
        <f>[41]Model!$Q$12</f>
        <v>1537.2</v>
      </c>
      <c r="T44" s="11">
        <f>[41]Model!P$36</f>
        <v>0.76377670077185411</v>
      </c>
      <c r="U44" s="11">
        <f>[41]Model!Q$36</f>
        <v>0.56442092407897415</v>
      </c>
      <c r="V44" s="11">
        <f>[41]Model!$Q$39</f>
        <v>0.71064272703616971</v>
      </c>
      <c r="W44" s="11">
        <f>[41]Model!$Q$41</f>
        <v>0.32650273224043719</v>
      </c>
      <c r="X44" s="11">
        <f>[41]Model!$AE$36</f>
        <v>0.09</v>
      </c>
      <c r="Y44" s="11">
        <f>[41]Model!$AE$42</f>
        <v>0.29282192477201852</v>
      </c>
      <c r="Z44" s="7" t="str">
        <f>[41]Model!$AE$43</f>
        <v>Undervalued</v>
      </c>
      <c r="AA44" s="7" t="s">
        <v>94</v>
      </c>
      <c r="AB44" s="7">
        <v>2011</v>
      </c>
      <c r="AD44" s="17">
        <f>[41]Main!$F$3</f>
        <v>45730</v>
      </c>
      <c r="AE44" s="17">
        <f>[41]Main!$H$3</f>
        <v>45762</v>
      </c>
    </row>
    <row r="45" spans="2:31" x14ac:dyDescent="0.3">
      <c r="B45" s="6" t="s">
        <v>151</v>
      </c>
      <c r="C45" s="7" t="s">
        <v>152</v>
      </c>
      <c r="D45" s="12">
        <f>[42]Main!$D$3</f>
        <v>8.5</v>
      </c>
      <c r="E45" s="8">
        <f>[42]Main!$D$5</f>
        <v>2686.8500000000004</v>
      </c>
      <c r="F45" s="8">
        <f>[42]Main!$D$10</f>
        <v>-1781.8596491228072</v>
      </c>
      <c r="G45" s="8">
        <f>[42]Main!$D$11</f>
        <v>4468.7096491228076</v>
      </c>
      <c r="H45" s="8">
        <f>[42]Model!AD16/[42]Main!$D$13</f>
        <v>384.29824561403439</v>
      </c>
      <c r="I45" s="8">
        <f>[42]Model!AE16/[42]Main!$D$13</f>
        <v>429.43265059649116</v>
      </c>
      <c r="J45" s="8">
        <f>[42]Model!AF16/[42]Main!$D$13</f>
        <v>470.57792579578972</v>
      </c>
      <c r="K45" s="8">
        <f>[42]Model!AG16/[42]Main!$D$13</f>
        <v>509.96151708012633</v>
      </c>
      <c r="L45" s="8">
        <f>[42]Model!AH16/[42]Main!$D$13</f>
        <v>542.918339415834</v>
      </c>
      <c r="M45" s="9">
        <f t="shared" si="23"/>
        <v>11.628233280073065</v>
      </c>
      <c r="N45" s="9">
        <f t="shared" si="23"/>
        <v>10.406077979668463</v>
      </c>
      <c r="O45" s="9">
        <f t="shared" si="23"/>
        <v>9.4962160444857595</v>
      </c>
      <c r="P45" s="9">
        <f t="shared" si="23"/>
        <v>8.7628369974055786</v>
      </c>
      <c r="Q45" s="9">
        <f t="shared" si="23"/>
        <v>8.2309056900362272</v>
      </c>
      <c r="R45" s="9">
        <f>G45*[42]Main!$D$13/[42]Model!$AO$16</f>
        <v>7.5109805698275158</v>
      </c>
      <c r="S45" s="10">
        <f>[42]Model!$AD$6/[42]Main!$D$13</f>
        <v>3299.9649122807009</v>
      </c>
      <c r="T45" s="11">
        <f>[42]Model!AC$23</f>
        <v>4.0000260842914193E-2</v>
      </c>
      <c r="U45" s="11">
        <f>[42]Model!AD$23</f>
        <v>0.17942351222387298</v>
      </c>
      <c r="V45" s="11"/>
      <c r="W45" s="11"/>
      <c r="X45" s="11">
        <f>[42]Model!$AS$22</f>
        <v>0.16</v>
      </c>
      <c r="Y45" s="11">
        <f>[42]Model!$AS$29</f>
        <v>-0.46482714641767242</v>
      </c>
      <c r="Z45" s="7" t="str">
        <f>[42]Model!$AS$30</f>
        <v>Overvalued</v>
      </c>
      <c r="AA45" s="7" t="s">
        <v>94</v>
      </c>
      <c r="AB45" s="7">
        <v>2006</v>
      </c>
      <c r="AD45" s="17">
        <f>[42]Main!$F$3</f>
        <v>45751</v>
      </c>
      <c r="AE45" s="17">
        <f>[42]Main!$G$3</f>
        <v>45806</v>
      </c>
    </row>
    <row r="46" spans="2:31" x14ac:dyDescent="0.3">
      <c r="B46" s="25" t="s">
        <v>130</v>
      </c>
      <c r="C46" s="7" t="s">
        <v>131</v>
      </c>
      <c r="D46" s="12">
        <f>[43]Main!$D$3</f>
        <v>11.39</v>
      </c>
      <c r="E46" s="8">
        <f>[43]Main!$D$5</f>
        <v>3338.4090000000006</v>
      </c>
      <c r="F46" s="8">
        <f>[43]Main!$D$10</f>
        <v>-1257.5441696113076</v>
      </c>
      <c r="G46" s="8">
        <f>[43]Main!$D$11</f>
        <v>4595.9531696113081</v>
      </c>
      <c r="H46" s="8">
        <f>[43]Model!AM18/[43]Main!$D$13</f>
        <v>-267.3498233215546</v>
      </c>
      <c r="I46" s="8">
        <f>[43]Model!AN18/[43]Main!$D$13</f>
        <v>414.80106289752655</v>
      </c>
      <c r="J46" s="8">
        <f>[43]Model!AO18/[43]Main!$D$13</f>
        <v>492.43325546819767</v>
      </c>
      <c r="K46" s="8">
        <f>[43]Model!AP18/[43]Main!$D$13</f>
        <v>535.46431115782684</v>
      </c>
      <c r="L46" s="8">
        <f>[43]Model!AQ18/[43]Main!$D$13</f>
        <v>567.73125562529424</v>
      </c>
      <c r="M46" s="9">
        <f t="shared" si="23"/>
        <v>-17.190784390695228</v>
      </c>
      <c r="N46" s="9">
        <f t="shared" si="23"/>
        <v>11.079897282584117</v>
      </c>
      <c r="O46" s="9">
        <f t="shared" si="23"/>
        <v>9.3331494544200702</v>
      </c>
      <c r="P46" s="9">
        <f t="shared" si="23"/>
        <v>8.5831176305168579</v>
      </c>
      <c r="Q46" s="9">
        <f t="shared" si="23"/>
        <v>8.0952970689439407</v>
      </c>
      <c r="R46" s="9">
        <f>G46/([43]Model!$AX$18/[43]Main!$D$13)</f>
        <v>7.5006673992520785</v>
      </c>
      <c r="S46" s="10">
        <f>[43]Model!$AM$6/[43]Main!$D$13</f>
        <v>2250.7420494699645</v>
      </c>
      <c r="T46" s="11">
        <f>[43]Model!AL$25</f>
        <v>0.26036999245818726</v>
      </c>
      <c r="U46" s="11">
        <f>[43]Model!AM$25</f>
        <v>0.12101372756071815</v>
      </c>
      <c r="V46" s="11">
        <f>[43]Model!$AM$26</f>
        <v>0.73396288620949512</v>
      </c>
      <c r="W46" s="11">
        <f>[43]Model!$AM$30</f>
        <v>0.19938457673951274</v>
      </c>
      <c r="X46" s="11">
        <f>[43]Model!$BC$24</f>
        <v>0.15</v>
      </c>
      <c r="Y46" s="11">
        <f>[43]Model!$BC$31</f>
        <v>0.47478324345323664</v>
      </c>
      <c r="Z46" s="7" t="str">
        <f>[43]Model!$BC$32</f>
        <v>Undervalued</v>
      </c>
      <c r="AA46" s="7" t="s">
        <v>94</v>
      </c>
      <c r="AB46" s="7">
        <v>2000</v>
      </c>
      <c r="AD46" s="17">
        <f>[43]Main!$E$3</f>
        <v>45751</v>
      </c>
      <c r="AE46" s="17">
        <f>[43]Main!$G$3</f>
        <v>45832</v>
      </c>
    </row>
    <row r="47" spans="2:31" x14ac:dyDescent="0.3">
      <c r="B47" s="27" t="s">
        <v>102</v>
      </c>
      <c r="C47" s="7" t="s">
        <v>103</v>
      </c>
      <c r="D47" s="24">
        <f>[44]Main!$D$3</f>
        <v>14.96</v>
      </c>
      <c r="E47" s="8">
        <f>[44]Main!$D$5</f>
        <v>896.10400000000004</v>
      </c>
      <c r="F47" s="8">
        <f>[44]Main!$D$8</f>
        <v>-2146.9</v>
      </c>
      <c r="G47" s="8">
        <f>[44]Main!$D$9</f>
        <v>3043.0039999999999</v>
      </c>
      <c r="H47" s="8">
        <f>[44]Model!AD16</f>
        <v>-126.69999999999992</v>
      </c>
      <c r="I47" s="8">
        <f>[44]Model!AE16</f>
        <v>-110.99999999999984</v>
      </c>
      <c r="J47" s="8">
        <f>[44]Model!AF16</f>
        <v>-1895.4</v>
      </c>
      <c r="K47" s="8">
        <f>[44]Model!AG16</f>
        <v>-20.400000000000027</v>
      </c>
      <c r="L47" s="8">
        <f>[44]Model!AH16</f>
        <v>21.999999999999979</v>
      </c>
      <c r="M47" s="9">
        <f t="shared" si="23"/>
        <v>-24.017395422257316</v>
      </c>
      <c r="N47" s="9">
        <f t="shared" si="23"/>
        <v>-27.414450450450488</v>
      </c>
      <c r="O47" s="9">
        <f t="shared" si="23"/>
        <v>-1.6054679750976046</v>
      </c>
      <c r="P47" s="9">
        <f t="shared" si="23"/>
        <v>-149.16686274509783</v>
      </c>
      <c r="Q47" s="9">
        <f t="shared" si="23"/>
        <v>138.31836363636376</v>
      </c>
      <c r="R47" s="9"/>
      <c r="S47" s="10">
        <f>[44]Model!$AD$3</f>
        <v>1426.5</v>
      </c>
      <c r="T47" s="11">
        <f>[44]Model!AC$20</f>
        <v>0.24318400981853228</v>
      </c>
      <c r="U47" s="11">
        <f>[44]Model!AD$20</f>
        <v>5.9234186587688864E-3</v>
      </c>
      <c r="V47" s="11"/>
      <c r="W47" s="11"/>
      <c r="X47" s="11">
        <f>[44]Model!$AV$22</f>
        <v>0.09</v>
      </c>
      <c r="Y47" s="11">
        <f>[44]Model!$AV$28</f>
        <v>5.3153950437602404E-2</v>
      </c>
      <c r="Z47" s="7" t="str">
        <f>[44]Model!$AV$29</f>
        <v>Fairly valued</v>
      </c>
      <c r="AA47" s="7" t="s">
        <v>94</v>
      </c>
      <c r="AB47" s="7">
        <v>1996</v>
      </c>
      <c r="AD47" s="17">
        <f>[44]Main!$E$3</f>
        <v>45751</v>
      </c>
      <c r="AE47" s="17">
        <f>[44]Main!$G$3</f>
        <v>45784</v>
      </c>
    </row>
    <row r="48" spans="2:31" x14ac:dyDescent="0.3">
      <c r="B48" s="25" t="s">
        <v>149</v>
      </c>
      <c r="C48" s="7" t="s">
        <v>150</v>
      </c>
      <c r="D48" s="12">
        <f>[45]Main!$D$3</f>
        <v>15</v>
      </c>
      <c r="E48" s="8">
        <f>[45]Main!$D$5</f>
        <v>1327.5</v>
      </c>
      <c r="F48" s="8">
        <f>[45]Main!$D$8</f>
        <v>93.9</v>
      </c>
      <c r="G48" s="8">
        <f>[45]Main!$D$9</f>
        <v>1233.5999999999999</v>
      </c>
      <c r="H48" s="8">
        <f>[45]Model!AB27</f>
        <v>106.2141045000001</v>
      </c>
      <c r="I48" s="8">
        <f>[45]Model!AC27</f>
        <v>138.91624085999987</v>
      </c>
      <c r="J48" s="8">
        <f>[45]Model!AD27</f>
        <v>170.45307595219995</v>
      </c>
      <c r="K48" s="8">
        <f>[45]Model!AE27</f>
        <v>182.54290103168199</v>
      </c>
      <c r="L48" s="8">
        <f>[45]Model!AF27</f>
        <v>193.13506186367351</v>
      </c>
      <c r="M48" s="9">
        <f t="shared" si="23"/>
        <v>11.614276708419631</v>
      </c>
      <c r="N48" s="9">
        <f t="shared" si="23"/>
        <v>8.880171190661752</v>
      </c>
      <c r="O48" s="9">
        <f t="shared" si="23"/>
        <v>7.2371823923314684</v>
      </c>
      <c r="P48" s="9">
        <f t="shared" si="23"/>
        <v>6.7578634558124904</v>
      </c>
      <c r="Q48" s="9">
        <f t="shared" si="23"/>
        <v>6.3872400386355013</v>
      </c>
      <c r="R48" s="9">
        <f>G48/[45]Model!$AL$27</f>
        <v>5.3520685377416157</v>
      </c>
      <c r="S48" s="10">
        <f>[45]Model!$AA$8</f>
        <v>482.9</v>
      </c>
      <c r="T48" s="11">
        <f>[45]Model!Z$34</f>
        <v>0.19909502262443413</v>
      </c>
      <c r="U48" s="11">
        <f>[45]Model!AA$34</f>
        <v>0.2148427672955977</v>
      </c>
      <c r="V48" s="11">
        <f>[45]Model!$AA$38</f>
        <v>0.7256160695796231</v>
      </c>
      <c r="W48" s="11">
        <f>[45]Model!$AA$41</f>
        <v>0.19092979913025471</v>
      </c>
      <c r="X48" s="11">
        <f>[45]Model!$AO$39</f>
        <v>0.1</v>
      </c>
      <c r="Y48" s="11">
        <f>[45]Model!$AO$45</f>
        <v>0.4949184142731724</v>
      </c>
      <c r="Z48" s="7" t="str">
        <f>[45]Model!$AO$46</f>
        <v>Undervalued</v>
      </c>
      <c r="AA48" s="7" t="s">
        <v>54</v>
      </c>
      <c r="AB48" s="7">
        <v>1995</v>
      </c>
      <c r="AD48" s="17">
        <f>[45]Main!$F$3</f>
        <v>45751</v>
      </c>
      <c r="AE48" s="17">
        <f>[45]Main!$H$3</f>
        <v>45771</v>
      </c>
    </row>
    <row r="49" spans="2:31" x14ac:dyDescent="0.3">
      <c r="B49" s="28" t="s">
        <v>70</v>
      </c>
      <c r="C49" s="7" t="s">
        <v>73</v>
      </c>
      <c r="D49" s="12">
        <f>[46]Main!$D$3</f>
        <v>8.9</v>
      </c>
      <c r="E49" s="8">
        <f>[46]Main!$D$5</f>
        <v>1059.99</v>
      </c>
      <c r="F49" s="8">
        <f>[46]Main!$D$8</f>
        <v>327.9</v>
      </c>
      <c r="G49" s="8">
        <f>[46]Main!$D$9</f>
        <v>732.09</v>
      </c>
      <c r="H49" s="8">
        <f>[46]Model!AQ$14</f>
        <v>-38.09999999999998</v>
      </c>
      <c r="I49" s="8">
        <f>[46]Model!AR$14</f>
        <v>-92.030840999999953</v>
      </c>
      <c r="J49" s="8">
        <f>[46]Model!AS$14</f>
        <v>-58.674754727999911</v>
      </c>
      <c r="K49" s="8">
        <f>[46]Model!AT$14</f>
        <v>-32.344843405823966</v>
      </c>
      <c r="L49" s="8">
        <f>[46]Model!AU$14</f>
        <v>-8.0104510907666544</v>
      </c>
      <c r="M49" s="9"/>
      <c r="N49" s="9"/>
      <c r="O49" s="9"/>
      <c r="P49" s="9"/>
      <c r="Q49" s="9"/>
      <c r="R49" s="9">
        <f>G49/[46]Model!$BB$14</f>
        <v>18.68218764796762</v>
      </c>
      <c r="S49" s="10">
        <f>[46]Model!$AR$3</f>
        <v>1402.8980000000001</v>
      </c>
      <c r="T49" s="11">
        <f>[46]Model!AP$18</f>
        <v>-5.5409723807349986E-2</v>
      </c>
      <c r="U49" s="11">
        <f>[46]Model!AQ$18</f>
        <v>-8.2885277593185425E-2</v>
      </c>
      <c r="V49" s="11"/>
      <c r="W49" s="11"/>
      <c r="X49" s="11">
        <f>[46]Model!$BE$21</f>
        <v>0.1</v>
      </c>
      <c r="Y49" s="11">
        <f>[46]Model!$BE$27</f>
        <v>-0.48395796893878795</v>
      </c>
      <c r="Z49" s="7" t="str">
        <f>[46]Model!$BE$28</f>
        <v>Overvalued</v>
      </c>
      <c r="AA49" s="7" t="s">
        <v>52</v>
      </c>
      <c r="AB49" s="7">
        <v>2002</v>
      </c>
      <c r="AD49" s="17">
        <f>[46]Main!$E$3</f>
        <v>45751</v>
      </c>
      <c r="AE49" s="17">
        <f>[46]Main!$G$3</f>
        <v>45784</v>
      </c>
    </row>
    <row r="50" spans="2:31" x14ac:dyDescent="0.3">
      <c r="B50" s="27" t="s">
        <v>90</v>
      </c>
      <c r="C50" s="7" t="s">
        <v>91</v>
      </c>
      <c r="D50" s="12">
        <f>[47]Main!$D$3</f>
        <v>7.37</v>
      </c>
      <c r="E50" s="8">
        <f>[47]Main!$D$5</f>
        <v>773.11300000000006</v>
      </c>
      <c r="F50" s="8">
        <f>[47]Main!$D$8</f>
        <v>-64.099999999999994</v>
      </c>
      <c r="G50" s="8">
        <f>[47]Main!$D$9</f>
        <v>837.21300000000008</v>
      </c>
      <c r="H50" s="8">
        <f>[47]Model!AK$41</f>
        <v>-71.999999999999844</v>
      </c>
      <c r="I50" s="8">
        <f>[47]Model!AL$41</f>
        <v>12.516575999999892</v>
      </c>
      <c r="J50" s="8">
        <f>[47]Model!AM$41</f>
        <v>38.902842901999918</v>
      </c>
      <c r="K50" s="8">
        <f>[47]Model!AN$41</f>
        <v>76.496561388799961</v>
      </c>
      <c r="L50" s="8">
        <f>[47]Model!AO$41</f>
        <v>117.82675900516999</v>
      </c>
      <c r="M50" s="9"/>
      <c r="N50" s="9">
        <f>$G50/I50</f>
        <v>66.888340709152985</v>
      </c>
      <c r="O50" s="9">
        <f>$G50/J50</f>
        <v>21.520612313835827</v>
      </c>
      <c r="P50" s="9">
        <f>$G50/K50</f>
        <v>10.944452728336341</v>
      </c>
      <c r="Q50" s="9">
        <f>$G50/L50</f>
        <v>7.1054572583403139</v>
      </c>
      <c r="R50" s="9">
        <f>G50/[47]Model!$AV$41</f>
        <v>5.1756977212237425</v>
      </c>
      <c r="S50" s="10">
        <f>[47]Model!$AK$3</f>
        <v>1316.4</v>
      </c>
      <c r="T50" s="11">
        <f>[47]Model!AJ$18</f>
        <v>6.1668242309650179E-2</v>
      </c>
      <c r="U50" s="11">
        <f>[47]Model!AK$18</f>
        <v>-9.8294403726282509E-2</v>
      </c>
      <c r="V50" s="11"/>
      <c r="W50" s="11"/>
      <c r="X50" s="11">
        <f>[47]Model!$AY$21</f>
        <v>0.1</v>
      </c>
      <c r="Y50" s="11">
        <f>[47]Model!$AY$49</f>
        <v>0.42182547973186435</v>
      </c>
      <c r="Z50" s="7" t="s">
        <v>190</v>
      </c>
      <c r="AA50" s="7" t="s">
        <v>84</v>
      </c>
      <c r="AB50" s="7">
        <v>1994</v>
      </c>
      <c r="AD50" s="17">
        <f>[47]Main!$E$3</f>
        <v>45751</v>
      </c>
      <c r="AE50" s="17">
        <f>[47]Main!$G$3</f>
        <v>45777</v>
      </c>
    </row>
    <row r="51" spans="2:31" x14ac:dyDescent="0.3">
      <c r="B51" s="27" t="s">
        <v>155</v>
      </c>
      <c r="C51" s="7" t="s">
        <v>156</v>
      </c>
      <c r="D51" s="12">
        <f>[48]Main!$D$3</f>
        <v>1.21</v>
      </c>
      <c r="E51" s="8">
        <f>[48]Main!$D$5</f>
        <v>1119.492</v>
      </c>
      <c r="F51" s="8">
        <f>[48]Main!$D$8</f>
        <v>361</v>
      </c>
      <c r="G51" s="8">
        <f>[48]Main!$D$9</f>
        <v>758.49199999999996</v>
      </c>
      <c r="H51" s="8">
        <f>[48]Model!AA$33</f>
        <v>-2104.9</v>
      </c>
      <c r="I51" s="8">
        <f>[48]Model!AB$33</f>
        <v>-722.21355000000028</v>
      </c>
      <c r="J51" s="8">
        <f>[48]Model!AC$33</f>
        <v>-504.726876</v>
      </c>
      <c r="K51" s="8">
        <f>[48]Model!AD$33</f>
        <v>-298.75576328999978</v>
      </c>
      <c r="L51" s="8">
        <f>[48]Model!AE$33</f>
        <v>-107.28387832140008</v>
      </c>
      <c r="M51" s="9">
        <f>$G51/H51</f>
        <v>-0.36034585966079147</v>
      </c>
      <c r="N51" s="9"/>
      <c r="O51" s="9"/>
      <c r="P51" s="9"/>
      <c r="Q51" s="9"/>
      <c r="R51" s="9">
        <f>G51/[48]Model!$AL$33</f>
        <v>1.8316260618100462</v>
      </c>
      <c r="S51" s="10">
        <f>[48]Model!$AA$8</f>
        <v>628.79999999999995</v>
      </c>
      <c r="T51" s="11">
        <f>[48]Model!Z$42</f>
        <v>0.27060165383518697</v>
      </c>
      <c r="U51" s="11">
        <f>[48]Model!AA$42</f>
        <v>-0.29443447037701986</v>
      </c>
      <c r="V51" s="11"/>
      <c r="W51" s="11"/>
      <c r="X51" s="11">
        <f>[48]Model!$AP$39</f>
        <v>0.11</v>
      </c>
      <c r="Y51" s="11">
        <f>[48]Model!$AP$45</f>
        <v>-0.48096549399129951</v>
      </c>
      <c r="Z51" s="7" t="str">
        <f>[48]Model!$AP$46</f>
        <v>Overvalued</v>
      </c>
      <c r="AA51" s="7" t="s">
        <v>143</v>
      </c>
      <c r="AB51" s="7">
        <v>1997</v>
      </c>
      <c r="AD51" s="17">
        <f>[48]Main!$E$3</f>
        <v>45751</v>
      </c>
      <c r="AE51" s="17">
        <f>[48]Main!$G$3</f>
        <v>45785</v>
      </c>
    </row>
    <row r="52" spans="2:31" x14ac:dyDescent="0.3">
      <c r="B52" s="29" t="s">
        <v>188</v>
      </c>
      <c r="C52" s="7" t="s">
        <v>189</v>
      </c>
      <c r="D52" s="21">
        <f>[49]Main!$D$3</f>
        <v>12.25</v>
      </c>
      <c r="E52" s="8">
        <f>[49]Main!$D$5</f>
        <v>426.29999999999995</v>
      </c>
      <c r="F52" s="8">
        <f>[49]Main!$D$8</f>
        <v>-9.2000000000000028</v>
      </c>
      <c r="G52" s="8">
        <f>[49]Main!$D$9</f>
        <v>435.49999999999994</v>
      </c>
      <c r="H52" s="8">
        <f>[49]Model!Y$18</f>
        <v>30.799999999999997</v>
      </c>
      <c r="I52" s="8">
        <f>[49]Model!Z$18</f>
        <v>44.091199999999979</v>
      </c>
      <c r="J52" s="8">
        <f>[49]Model!AA$18</f>
        <v>51.848129999999976</v>
      </c>
      <c r="K52" s="8">
        <f>[49]Model!AB$18</f>
        <v>55.878580949999979</v>
      </c>
      <c r="L52" s="8">
        <f>[49]Model!AC$18</f>
        <v>60.321196610999991</v>
      </c>
      <c r="M52" s="9">
        <f t="shared" ref="M52:Q52" si="24">$G52/H52</f>
        <v>14.13961038961039</v>
      </c>
      <c r="N52" s="9">
        <f t="shared" si="24"/>
        <v>9.8772544181151822</v>
      </c>
      <c r="O52" s="9">
        <f t="shared" si="24"/>
        <v>8.3995314777987193</v>
      </c>
      <c r="P52" s="9">
        <f t="shared" si="24"/>
        <v>7.7936839589696154</v>
      </c>
      <c r="Q52" s="9">
        <f t="shared" si="24"/>
        <v>7.2196843641623563</v>
      </c>
      <c r="R52" s="9">
        <f>G52/[49]Model!$AJ$18</f>
        <v>4.5433065175162497</v>
      </c>
      <c r="S52" s="10">
        <f>[49]Model!$Y$3</f>
        <v>127.2</v>
      </c>
      <c r="T52" s="11">
        <f>[49]Model!$X$22</f>
        <v>0.42091503267973862</v>
      </c>
      <c r="U52" s="11">
        <f>[49]Model!$Y$22</f>
        <v>0.170193192272309</v>
      </c>
      <c r="V52" s="11">
        <f>[49]Model!$Y$23</f>
        <v>0.94103773584905659</v>
      </c>
      <c r="W52" s="11">
        <f>[49]Model!$Y$27</f>
        <v>0.285377358490566</v>
      </c>
      <c r="X52" s="11">
        <f>[49]Model!$AM$25</f>
        <v>0.11</v>
      </c>
      <c r="Y52" s="11">
        <f>[49]Model!$AM$31</f>
        <v>0.5144913850915962</v>
      </c>
      <c r="Z52" s="7" t="str">
        <f>[49]Model!$AM$32</f>
        <v>Heavily undervalued</v>
      </c>
      <c r="AA52" s="7" t="s">
        <v>89</v>
      </c>
      <c r="AB52" s="7">
        <v>2006</v>
      </c>
      <c r="AD52" s="17">
        <f>[49]Main!$E$3</f>
        <v>45751</v>
      </c>
      <c r="AE52" s="17">
        <f>[49]Main!$G$3</f>
        <v>45792</v>
      </c>
    </row>
    <row r="53" spans="2:31" x14ac:dyDescent="0.3">
      <c r="B53" s="29" t="s">
        <v>63</v>
      </c>
      <c r="C53" s="7" t="s">
        <v>64</v>
      </c>
      <c r="D53" s="12">
        <f>[50]Main!$D$3</f>
        <v>6.1</v>
      </c>
      <c r="E53" s="8">
        <f>[50]Main!$D$5</f>
        <v>85.399999999999991</v>
      </c>
      <c r="F53" s="8">
        <f>[50]Main!$D$8</f>
        <v>-17.099999999999994</v>
      </c>
      <c r="G53" s="8">
        <f>[50]Main!$D$9</f>
        <v>102.49999999999999</v>
      </c>
      <c r="H53" s="8">
        <f>[50]Model!AU23</f>
        <v>3.1999999999999886</v>
      </c>
      <c r="I53" s="8">
        <f>[50]Model!AV23</f>
        <v>0.61426499999996054</v>
      </c>
      <c r="J53" s="8">
        <f>[50]Model!AW23</f>
        <v>13.698367175999968</v>
      </c>
      <c r="K53" s="8">
        <f>[50]Model!AX23</f>
        <v>17.129505912479978</v>
      </c>
      <c r="L53" s="8">
        <f>[50]Model!AY23</f>
        <v>19.595469755830393</v>
      </c>
      <c r="M53" s="9"/>
      <c r="N53" s="9">
        <f>$G53/I53</f>
        <v>166.86609199613613</v>
      </c>
      <c r="O53" s="9">
        <f>$G53/J53</f>
        <v>7.482643637964653</v>
      </c>
      <c r="P53" s="9">
        <f>$G53/K53</f>
        <v>5.983827001415257</v>
      </c>
      <c r="Q53" s="9">
        <f>$G53/L53</f>
        <v>5.2308008574023779</v>
      </c>
      <c r="R53" s="9"/>
      <c r="S53" s="10">
        <f>[50]Model!$AU$7</f>
        <v>206.39999999999998</v>
      </c>
      <c r="T53" s="11">
        <f>[50]Model!AT$31</f>
        <v>-0.23368678629690032</v>
      </c>
      <c r="U53" s="11">
        <f>[50]Model!AU$31</f>
        <v>9.8456625864821401E-2</v>
      </c>
      <c r="V53" s="11"/>
      <c r="W53" s="11"/>
      <c r="X53" s="11">
        <f>[50]Model!$BI$33</f>
        <v>0.12</v>
      </c>
      <c r="Y53" s="11">
        <f>[50]Model!$BI$39</f>
        <v>0.51120802229567275</v>
      </c>
      <c r="Z53" s="7" t="str">
        <f>[50]Model!$BI$40</f>
        <v>Heavily undervalued</v>
      </c>
      <c r="AA53" s="7" t="s">
        <v>65</v>
      </c>
      <c r="AB53" s="7">
        <v>1996</v>
      </c>
      <c r="AD53" s="17">
        <f>[50]Main!$E$3</f>
        <v>45751</v>
      </c>
      <c r="AE53" s="17">
        <f>[50]Main!$G$3</f>
        <v>45777</v>
      </c>
    </row>
    <row r="54" spans="2:31" x14ac:dyDescent="0.3">
      <c r="B54" s="30" t="s">
        <v>87</v>
      </c>
      <c r="C54" s="7" t="s">
        <v>88</v>
      </c>
      <c r="D54" s="20">
        <f>[51]Main!$D$3</f>
        <v>0.73199999999999998</v>
      </c>
      <c r="E54" s="8">
        <f>[51]Main!$D$5</f>
        <v>187.61160000000001</v>
      </c>
      <c r="F54" s="8">
        <f>[51]Main!$D$8</f>
        <v>0</v>
      </c>
      <c r="G54" s="8">
        <f>[51]Main!$D$9</f>
        <v>187.61160000000001</v>
      </c>
      <c r="H54" s="8"/>
      <c r="I54" s="8"/>
      <c r="J54" s="8"/>
      <c r="K54" s="8"/>
      <c r="L54" s="8"/>
      <c r="M54" s="9"/>
      <c r="N54" s="9"/>
      <c r="O54" s="9"/>
      <c r="P54" s="9"/>
      <c r="Q54" s="9"/>
      <c r="R54" s="9"/>
      <c r="S54" s="18"/>
      <c r="T54" s="11"/>
      <c r="U54" s="11"/>
      <c r="V54" s="11"/>
      <c r="W54" s="11"/>
      <c r="X54" s="11">
        <f>[51]Model!$AE$24</f>
        <v>0.11</v>
      </c>
      <c r="Y54" s="11">
        <f>[51]Model!$AE$30</f>
        <v>-0.25169013126318518</v>
      </c>
      <c r="Z54" s="7" t="str">
        <f>[51]Model!$AE$31</f>
        <v>Slightly overvalued</v>
      </c>
      <c r="AA54" s="7" t="s">
        <v>89</v>
      </c>
      <c r="AB54" s="7">
        <v>1972</v>
      </c>
      <c r="AD54" s="17">
        <f>[51]Main!$E$3</f>
        <v>44279</v>
      </c>
      <c r="AE54" s="17">
        <f>[51]Main!$G$3</f>
        <v>44406</v>
      </c>
    </row>
    <row r="55" spans="2:31" x14ac:dyDescent="0.3">
      <c r="B55" s="27" t="s">
        <v>153</v>
      </c>
      <c r="C55" s="7" t="s">
        <v>154</v>
      </c>
      <c r="D55" s="12">
        <f>[52]Main!$D$3</f>
        <v>0.56620000000000004</v>
      </c>
      <c r="E55" s="8">
        <f>[52]Main!$D$5</f>
        <v>59.507620000000003</v>
      </c>
      <c r="F55" s="8">
        <f>[52]Main!$D$8</f>
        <v>401.09999999999997</v>
      </c>
      <c r="G55" s="8">
        <f>[52]Main!$D$9</f>
        <v>-341.59237999999993</v>
      </c>
      <c r="H55" s="8">
        <f>[52]Model!AD$15</f>
        <v>-29.899999999999945</v>
      </c>
      <c r="I55" s="8">
        <f>[52]Model!AE$15</f>
        <v>-99.47824999999996</v>
      </c>
      <c r="J55" s="8">
        <f>[52]Model!AF$15</f>
        <v>-83.16289500000002</v>
      </c>
      <c r="K55" s="8">
        <f>[52]Model!AG$15</f>
        <v>-59.940097869999995</v>
      </c>
      <c r="L55" s="8">
        <f>[52]Model!AH$15</f>
        <v>-44.752185381000011</v>
      </c>
      <c r="M55" s="9">
        <f t="shared" ref="M55:Q56" si="25">$G55/H55</f>
        <v>11.42449431438129</v>
      </c>
      <c r="N55" s="9">
        <f t="shared" si="25"/>
        <v>3.4338398594667687</v>
      </c>
      <c r="O55" s="9">
        <f t="shared" si="25"/>
        <v>4.1075094848489808</v>
      </c>
      <c r="P55" s="9">
        <f t="shared" si="25"/>
        <v>5.698895933417667</v>
      </c>
      <c r="Q55" s="9">
        <f t="shared" si="25"/>
        <v>7.6329765148190152</v>
      </c>
      <c r="R55" s="9"/>
      <c r="S55" s="10">
        <f>[52]Model!$AD$3</f>
        <v>617.6</v>
      </c>
      <c r="T55" s="11">
        <f>[52]Model!AC$19</f>
        <v>-6.5727699530516381E-2</v>
      </c>
      <c r="U55" s="11">
        <f>[52]Model!AD$19</f>
        <v>-0.13791178112786151</v>
      </c>
      <c r="V55" s="11"/>
      <c r="W55" s="11"/>
      <c r="X55" s="11">
        <f>[52]Model!$AS$21</f>
        <v>0.12</v>
      </c>
      <c r="Y55" s="11">
        <f>[52]Model!$AS$27</f>
        <v>0.25066821021641306</v>
      </c>
      <c r="Z55" s="7" t="str">
        <f>[52]Model!$AS$28</f>
        <v>Slightly undervalued</v>
      </c>
      <c r="AA55" s="7" t="s">
        <v>65</v>
      </c>
      <c r="AB55" s="7">
        <v>2005</v>
      </c>
      <c r="AD55" s="17">
        <f>[52]Main!$E$3</f>
        <v>45751</v>
      </c>
      <c r="AE55" s="17">
        <f>[52]Main!$G$3</f>
        <v>45802</v>
      </c>
    </row>
    <row r="56" spans="2:31" x14ac:dyDescent="0.3">
      <c r="B56" s="27" t="s">
        <v>106</v>
      </c>
      <c r="C56" s="7" t="s">
        <v>107</v>
      </c>
      <c r="D56" s="12">
        <f>[53]Main!$D$3</f>
        <v>4.07</v>
      </c>
      <c r="E56" s="8">
        <f>[53]Main!$D$5</f>
        <v>71.632000000000005</v>
      </c>
      <c r="F56" s="8">
        <f>[53]Main!$D$8</f>
        <v>239</v>
      </c>
      <c r="G56" s="8">
        <f>[53]Main!$D$9</f>
        <v>-167.36799999999999</v>
      </c>
      <c r="H56" s="8">
        <f>[53]Model!AI14</f>
        <v>-93.9</v>
      </c>
      <c r="I56" s="8">
        <f>[53]Model!AJ14</f>
        <v>-59.968500000000006</v>
      </c>
      <c r="J56" s="8">
        <f>[53]Model!AK14</f>
        <v>-42.065130000000011</v>
      </c>
      <c r="K56" s="8">
        <f>[53]Model!AL14</f>
        <v>-29.314150250000012</v>
      </c>
      <c r="L56" s="8">
        <f>[53]Model!AM14</f>
        <v>-18.632540500000005</v>
      </c>
      <c r="M56" s="9">
        <f t="shared" si="25"/>
        <v>1.7824068157614481</v>
      </c>
      <c r="N56" s="9">
        <f t="shared" si="25"/>
        <v>2.7909319059172728</v>
      </c>
      <c r="O56" s="9">
        <f t="shared" si="25"/>
        <v>3.9787824262043157</v>
      </c>
      <c r="P56" s="9">
        <f t="shared" si="25"/>
        <v>5.709461081854144</v>
      </c>
      <c r="Q56" s="9">
        <f t="shared" si="25"/>
        <v>8.9825646695897401</v>
      </c>
      <c r="R56" s="9">
        <f>E56/[53]Model!$AS$14</f>
        <v>102.72857629268252</v>
      </c>
      <c r="S56" s="10">
        <f>[53]Model!$AI$3</f>
        <v>95.5</v>
      </c>
      <c r="T56" s="11">
        <f>[53]Model!AH$18</f>
        <v>-0.43604004449388212</v>
      </c>
      <c r="U56" s="11">
        <f>[53]Model!AI$18</f>
        <v>-0.37212360289283364</v>
      </c>
      <c r="V56" s="11"/>
      <c r="W56" s="11"/>
      <c r="X56" s="11">
        <f>[53]Model!$AW$21</f>
        <v>0.12</v>
      </c>
      <c r="Y56" s="11">
        <f>[53]Model!$AW$27</f>
        <v>-0.52302112324583339</v>
      </c>
      <c r="Z56" s="7" t="str">
        <f>[53]Model!$AW$28</f>
        <v>Heavily overvalued</v>
      </c>
      <c r="AA56" s="7" t="s">
        <v>89</v>
      </c>
      <c r="AB56" s="7">
        <v>2012</v>
      </c>
      <c r="AD56" s="17">
        <f>[53]Main!$E$3</f>
        <v>45751</v>
      </c>
      <c r="AE56" s="17">
        <f>[53]Main!$G$3</f>
        <v>45777</v>
      </c>
    </row>
    <row r="57" spans="2:31" x14ac:dyDescent="0.3">
      <c r="B57" s="25" t="s">
        <v>109</v>
      </c>
      <c r="C57" s="7" t="s">
        <v>110</v>
      </c>
      <c r="D57" s="21">
        <f>[54]Main!$D$3</f>
        <v>1.27</v>
      </c>
      <c r="E57" s="8">
        <f>[54]Main!$D$5</f>
        <v>94.234000000000009</v>
      </c>
      <c r="F57" s="8">
        <f>[54]Main!$D$8</f>
        <v>-15.5</v>
      </c>
      <c r="G57" s="8">
        <f>[54]Main!$D$9</f>
        <v>109.73400000000001</v>
      </c>
      <c r="H57" s="8">
        <f>[54]Model!T17</f>
        <v>-76.160000000000011</v>
      </c>
      <c r="I57" s="8">
        <f>[54]Model!U17</f>
        <v>2.1120000000000005</v>
      </c>
      <c r="J57" s="8">
        <f>[54]Model!V17</f>
        <v>8.7361250000000013</v>
      </c>
      <c r="K57" s="8">
        <f>[54]Model!W17</f>
        <v>15.032579999999999</v>
      </c>
      <c r="L57" s="8">
        <f>[54]Model!X17</f>
        <v>20.612932799999989</v>
      </c>
      <c r="M57" s="9"/>
      <c r="N57" s="9">
        <f>$G57/I57</f>
        <v>51.957386363636353</v>
      </c>
      <c r="O57" s="9">
        <f>$G57/J57</f>
        <v>12.560946643964</v>
      </c>
      <c r="P57" s="9">
        <f>$G57/K57</f>
        <v>7.2997449539599994</v>
      </c>
      <c r="Q57" s="9">
        <f>$G57/L57</f>
        <v>5.3235510475248855</v>
      </c>
      <c r="R57" s="9">
        <f>G57/[54]Model!$AE$17</f>
        <v>2.175916093374441</v>
      </c>
      <c r="S57" s="10">
        <f>[54]Model!$T$3</f>
        <v>46.9</v>
      </c>
      <c r="T57" s="11">
        <f>[54]Model!S$21</f>
        <v>2.4338235294117649</v>
      </c>
      <c r="U57" s="11">
        <f>[54]Model!T$21</f>
        <v>4.2826552462524869E-3</v>
      </c>
      <c r="V57" s="11"/>
      <c r="W57" s="11"/>
      <c r="X57" s="11">
        <f>[54]Model!$AH$24</f>
        <v>0.12</v>
      </c>
      <c r="Y57" s="11">
        <f>[54]Model!$AH$30</f>
        <v>0.51192284558708812</v>
      </c>
      <c r="Z57" s="7" t="str">
        <f>[54]Model!$AH$31</f>
        <v>Heavily undervalued</v>
      </c>
      <c r="AA57" s="7" t="s">
        <v>111</v>
      </c>
      <c r="AB57" s="7">
        <v>2015</v>
      </c>
      <c r="AD57" s="17">
        <f>[54]Main!$E$3</f>
        <v>45751</v>
      </c>
      <c r="AE57" s="17">
        <f>[54]Main!$G$3</f>
        <v>45845</v>
      </c>
    </row>
    <row r="58" spans="2:31" x14ac:dyDescent="0.3">
      <c r="B58" s="29" t="s">
        <v>141</v>
      </c>
      <c r="C58" s="7" t="s">
        <v>142</v>
      </c>
      <c r="D58" s="12">
        <f>[55]Main!$D$3</f>
        <v>3.72</v>
      </c>
      <c r="E58" s="8">
        <f>[55]Main!$D$5</f>
        <v>78.492000000000004</v>
      </c>
      <c r="F58" s="8">
        <f>[55]Main!$D$8</f>
        <v>128</v>
      </c>
      <c r="G58" s="8">
        <f>[55]Main!$D$9</f>
        <v>-49.507999999999996</v>
      </c>
      <c r="H58" s="8">
        <f>[55]Model!Z23</f>
        <v>31.400000000000002</v>
      </c>
      <c r="I58" s="8">
        <f>[55]Model!AA23</f>
        <v>49.3</v>
      </c>
      <c r="J58" s="8">
        <f>[55]Model!AB23</f>
        <v>114.3</v>
      </c>
      <c r="K58" s="8">
        <f>[55]Model!AC23</f>
        <v>125.6</v>
      </c>
      <c r="L58" s="8">
        <f>[55]Model!AD23</f>
        <v>122.6</v>
      </c>
      <c r="M58" s="9">
        <f>$E$58/H58</f>
        <v>2.4997452229299362</v>
      </c>
      <c r="N58" s="9">
        <f>$E$58/I58</f>
        <v>1.5921298174442193</v>
      </c>
      <c r="O58" s="9">
        <f>$E$58/J58</f>
        <v>0.6867191601049869</v>
      </c>
      <c r="P58" s="9">
        <f>$E$58/K58</f>
        <v>0.62493630573248415</v>
      </c>
      <c r="Q58" s="9">
        <f>$E$58/L58</f>
        <v>0.64022838499184342</v>
      </c>
      <c r="R58" s="9">
        <f>E58/[55]Model!$AO$31</f>
        <v>0.97320338848112853</v>
      </c>
      <c r="S58" s="10">
        <f>[55]Model!$AE$13</f>
        <v>139.44</v>
      </c>
      <c r="T58" s="11">
        <f>[55]Model!AD$44</f>
        <v>-9.0761750405186525E-2</v>
      </c>
      <c r="U58" s="11">
        <f>[55]Model!AE$44</f>
        <v>0.24278074866310151</v>
      </c>
      <c r="V58" s="11"/>
      <c r="W58" s="11"/>
      <c r="X58" s="11">
        <f>[55]Model!$AS$42</f>
        <v>0.12</v>
      </c>
      <c r="Y58" s="11">
        <f>[55]Model!$AS$48</f>
        <v>0.5117314448778445</v>
      </c>
      <c r="Z58" s="7" t="str">
        <f>[55]Model!$AS$49</f>
        <v>Heavily undervalued</v>
      </c>
      <c r="AA58" s="7" t="s">
        <v>143</v>
      </c>
      <c r="AB58" s="7">
        <v>1969</v>
      </c>
      <c r="AD58" s="17">
        <f>[55]Main!$E$3</f>
        <v>45772</v>
      </c>
      <c r="AE58" s="17">
        <f>[55]Main!$G$3</f>
        <v>45817</v>
      </c>
    </row>
    <row r="59" spans="2:31" x14ac:dyDescent="0.3">
      <c r="B59" s="27" t="s">
        <v>157</v>
      </c>
      <c r="C59" s="7" t="s">
        <v>158</v>
      </c>
      <c r="D59" s="12">
        <f>[56]Main!$D$3</f>
        <v>4.33</v>
      </c>
      <c r="E59" s="8">
        <f>[56]Main!$D$5</f>
        <v>40.702000000000005</v>
      </c>
      <c r="F59" s="8">
        <f>[56]Main!$D$8</f>
        <v>19.7</v>
      </c>
      <c r="G59" s="8">
        <f>[56]Main!$D$9</f>
        <v>21.002000000000006</v>
      </c>
      <c r="H59" s="8">
        <f>[56]Model!AC$12</f>
        <v>-0.35477249999999816</v>
      </c>
      <c r="I59" s="8">
        <f>[56]Model!AD$12</f>
        <v>-0.17520344999999893</v>
      </c>
      <c r="J59" s="8">
        <f>[56]Model!AE$12</f>
        <v>6.0903360000006401E-3</v>
      </c>
      <c r="K59" s="8">
        <f>[56]Model!AF$12</f>
        <v>0.18916201917000153</v>
      </c>
      <c r="L59" s="8">
        <f>[56]Model!AG$12</f>
        <v>0.37406563723890129</v>
      </c>
      <c r="M59" s="9"/>
      <c r="N59" s="9"/>
      <c r="O59" s="9">
        <f>$G59/J59</f>
        <v>3448.4140119687645</v>
      </c>
      <c r="P59" s="9">
        <f>$G59/K59</f>
        <v>111.0265162750527</v>
      </c>
      <c r="Q59" s="9">
        <f>$G59/L59</f>
        <v>56.14522669075545</v>
      </c>
      <c r="R59" s="9">
        <f>G59/[56]Model!$AL$12</f>
        <v>15.81454580031831</v>
      </c>
      <c r="S59" s="10">
        <f>[56]Model!$AA$3</f>
        <v>12.3</v>
      </c>
      <c r="T59" s="11">
        <f>[56]Model!AA$16</f>
        <v>-6.1068702290076216E-2</v>
      </c>
      <c r="U59" s="11">
        <f>[56]Model!AB$16</f>
        <v>2.2357723577235866E-2</v>
      </c>
      <c r="V59" s="11"/>
      <c r="W59" s="11"/>
      <c r="X59" s="11">
        <f>[56]Model!$AO$18</f>
        <v>0.12</v>
      </c>
      <c r="Y59" s="11">
        <f>[56]Model!$AO$24</f>
        <v>-0.42072331946903563</v>
      </c>
      <c r="Z59" s="7" t="str">
        <f>[56]Model!$AO$25</f>
        <v>Overvalued</v>
      </c>
      <c r="AA59" s="7" t="s">
        <v>52</v>
      </c>
      <c r="AB59" s="7">
        <v>1958</v>
      </c>
      <c r="AD59" s="17">
        <f>[56]Main!$E$3</f>
        <v>45751</v>
      </c>
      <c r="AE59" s="17">
        <f>[56]Main!$G$3</f>
        <v>45785</v>
      </c>
    </row>
    <row r="60" spans="2:31" x14ac:dyDescent="0.3">
      <c r="B60" s="29" t="s">
        <v>169</v>
      </c>
      <c r="C60" s="7" t="s">
        <v>170</v>
      </c>
      <c r="D60" s="12">
        <f>[57]Main!$D$3</f>
        <v>18.45</v>
      </c>
      <c r="E60" s="8">
        <f>[57]Main!$D$5</f>
        <v>184.03874999999999</v>
      </c>
      <c r="F60" s="8">
        <f>[57]Main!$D$10</f>
        <v>42.906336088154269</v>
      </c>
      <c r="G60" s="8">
        <f>[57]Main!$D$11</f>
        <v>141.13241391184573</v>
      </c>
      <c r="H60" s="8">
        <f>[57]Model!O$23</f>
        <v>-8.9289999999999505</v>
      </c>
      <c r="I60" s="8">
        <f>[57]Model!P$23</f>
        <v>-4.1479499999999918</v>
      </c>
      <c r="J60" s="8">
        <f>[57]Model!Q$23</f>
        <v>0.25370300000004137</v>
      </c>
      <c r="K60" s="8">
        <f>[57]Model!R$23</f>
        <v>6.864712200000076</v>
      </c>
      <c r="L60" s="8">
        <f>[57]Model!S$23</f>
        <v>9.7365742740000307</v>
      </c>
      <c r="M60" s="9"/>
      <c r="N60" s="9"/>
      <c r="O60" s="9">
        <f>$E$60/J60</f>
        <v>725.41022376546584</v>
      </c>
      <c r="P60" s="9">
        <f>$E$60/K60</f>
        <v>26.809390494185315</v>
      </c>
      <c r="Q60" s="9">
        <f>$E$60/L60</f>
        <v>18.901796958653737</v>
      </c>
      <c r="R60" s="9">
        <f>E60/[57]Model!$Z$23</f>
        <v>233.3763663057822</v>
      </c>
      <c r="S60" s="10">
        <f>[57]Model!$O$5</f>
        <v>712.375</v>
      </c>
      <c r="T60" s="11">
        <f>[57]Model!N$27</f>
        <v>0.27266636891469398</v>
      </c>
      <c r="U60" s="11">
        <f>[57]Model!O$27</f>
        <v>0.25</v>
      </c>
      <c r="V60" s="11"/>
      <c r="W60" s="11"/>
      <c r="X60" s="11">
        <f>[57]Model!$AC$30</f>
        <v>0.15</v>
      </c>
      <c r="Y60" s="11">
        <f>[57]Model!$AC$37</f>
        <v>-0.7539115941398663</v>
      </c>
      <c r="Z60" s="7" t="str">
        <f>[57]Model!$AC$38</f>
        <v>Heavily overvalued</v>
      </c>
      <c r="AA60" s="7" t="s">
        <v>53</v>
      </c>
      <c r="AB60" s="7">
        <v>2018</v>
      </c>
      <c r="AD60" s="17">
        <f>[57]Main!$E$3</f>
        <v>45751</v>
      </c>
      <c r="AE60" s="17">
        <f>[57]Main!$G$3</f>
        <v>45741</v>
      </c>
    </row>
    <row r="61" spans="2:31" x14ac:dyDescent="0.3">
      <c r="B61" s="27" t="s">
        <v>165</v>
      </c>
      <c r="C61" s="7" t="s">
        <v>164</v>
      </c>
      <c r="D61" s="21"/>
      <c r="H61" s="8"/>
      <c r="I61" s="8"/>
      <c r="J61" s="8"/>
      <c r="K61" s="8"/>
      <c r="L61" s="8"/>
      <c r="M61" s="9"/>
      <c r="N61" s="9"/>
      <c r="O61" s="9"/>
      <c r="P61" s="9"/>
      <c r="Q61" s="9"/>
      <c r="R61" s="9"/>
      <c r="S61" s="22"/>
      <c r="T61" s="11"/>
      <c r="U61" s="11"/>
      <c r="V61" s="11"/>
      <c r="W61" s="11"/>
      <c r="X61" s="11"/>
      <c r="Y61" s="11"/>
      <c r="AD61" s="17"/>
      <c r="AE61" s="17"/>
    </row>
    <row r="62" spans="2:31" x14ac:dyDescent="0.3">
      <c r="B62" t="s">
        <v>99</v>
      </c>
      <c r="C62" s="7" t="s">
        <v>98</v>
      </c>
      <c r="D62" s="21"/>
      <c r="H62" s="8"/>
      <c r="I62" s="8"/>
      <c r="J62" s="8"/>
      <c r="K62" s="8"/>
      <c r="L62" s="8"/>
      <c r="M62" s="9"/>
      <c r="N62" s="9"/>
      <c r="O62" s="9"/>
      <c r="P62" s="9"/>
      <c r="Q62" s="9"/>
      <c r="R62" s="9"/>
      <c r="S62" s="22"/>
      <c r="T62" s="11"/>
      <c r="U62" s="11"/>
      <c r="V62" s="11"/>
      <c r="W62" s="11"/>
      <c r="X62" s="11"/>
      <c r="Y62" s="11"/>
      <c r="AD62" s="17"/>
      <c r="AE62" s="17"/>
    </row>
    <row r="63" spans="2:31" x14ac:dyDescent="0.3">
      <c r="B63" t="s">
        <v>101</v>
      </c>
      <c r="C63" s="7" t="s">
        <v>100</v>
      </c>
      <c r="D63" s="21"/>
      <c r="H63" s="8"/>
      <c r="I63" s="8"/>
      <c r="J63" s="8"/>
      <c r="K63" s="8"/>
      <c r="L63" s="8"/>
      <c r="M63" s="9"/>
      <c r="N63" s="9"/>
      <c r="O63" s="9"/>
      <c r="P63" s="9"/>
      <c r="Q63" s="9"/>
      <c r="R63" s="9"/>
      <c r="S63" s="22"/>
      <c r="T63" s="11"/>
      <c r="U63" s="11"/>
      <c r="V63" s="11"/>
      <c r="W63" s="11"/>
      <c r="X63" s="11"/>
      <c r="Y63" s="11"/>
      <c r="AD63" s="17"/>
      <c r="AE63" s="17"/>
    </row>
    <row r="64" spans="2:31" x14ac:dyDescent="0.3">
      <c r="B64" t="s">
        <v>186</v>
      </c>
      <c r="C64" s="7" t="s">
        <v>187</v>
      </c>
      <c r="D64" s="21"/>
      <c r="H64" s="8"/>
      <c r="I64" s="8"/>
      <c r="J64" s="8"/>
      <c r="K64" s="8"/>
      <c r="L64" s="8"/>
      <c r="M64" s="9"/>
      <c r="N64" s="9"/>
      <c r="O64" s="9"/>
      <c r="P64" s="9"/>
      <c r="Q64" s="9"/>
      <c r="R64" s="9"/>
      <c r="S64" s="22"/>
      <c r="T64" s="11"/>
      <c r="U64" s="11"/>
      <c r="V64" s="11"/>
      <c r="W64" s="11"/>
      <c r="X64" s="11"/>
      <c r="Y64" s="11"/>
      <c r="AD64" s="17"/>
      <c r="AE64" s="17"/>
    </row>
    <row r="65" spans="2:27" x14ac:dyDescent="0.3">
      <c r="B65" t="s">
        <v>85</v>
      </c>
      <c r="C65" s="7" t="s">
        <v>86</v>
      </c>
    </row>
    <row r="66" spans="2:27" x14ac:dyDescent="0.3">
      <c r="B66" t="s">
        <v>38</v>
      </c>
      <c r="C66" s="7" t="s">
        <v>174</v>
      </c>
    </row>
    <row r="67" spans="2:27" x14ac:dyDescent="0.3">
      <c r="B67" t="s">
        <v>41</v>
      </c>
      <c r="C67" s="7" t="s">
        <v>42</v>
      </c>
    </row>
    <row r="68" spans="2:27" x14ac:dyDescent="0.3">
      <c r="B68" t="s">
        <v>45</v>
      </c>
      <c r="C68" s="7" t="s">
        <v>50</v>
      </c>
    </row>
    <row r="69" spans="2:27" x14ac:dyDescent="0.3">
      <c r="B69" t="s">
        <v>46</v>
      </c>
      <c r="C69" s="7" t="s">
        <v>49</v>
      </c>
    </row>
    <row r="70" spans="2:27" x14ac:dyDescent="0.3">
      <c r="B70" t="s">
        <v>112</v>
      </c>
      <c r="C70" s="7" t="s">
        <v>113</v>
      </c>
    </row>
    <row r="71" spans="2:27" x14ac:dyDescent="0.3">
      <c r="B71" t="s">
        <v>139</v>
      </c>
      <c r="C71" s="7" t="s">
        <v>140</v>
      </c>
    </row>
    <row r="72" spans="2:27" x14ac:dyDescent="0.3">
      <c r="B72" t="s">
        <v>144</v>
      </c>
      <c r="C72" s="7" t="s">
        <v>145</v>
      </c>
    </row>
    <row r="73" spans="2:27" x14ac:dyDescent="0.3">
      <c r="B73" t="s">
        <v>146</v>
      </c>
      <c r="C73" s="7" t="s">
        <v>159</v>
      </c>
    </row>
    <row r="74" spans="2:27" x14ac:dyDescent="0.3">
      <c r="B74" s="6" t="s">
        <v>162</v>
      </c>
      <c r="C74" s="7" t="s">
        <v>163</v>
      </c>
    </row>
    <row r="75" spans="2:27" x14ac:dyDescent="0.3">
      <c r="B75" t="s">
        <v>182</v>
      </c>
      <c r="C75" s="7" t="s">
        <v>183</v>
      </c>
    </row>
    <row r="76" spans="2:27" x14ac:dyDescent="0.3">
      <c r="H76" s="8"/>
      <c r="I76" s="8"/>
      <c r="J76" s="8"/>
      <c r="K76" s="8"/>
      <c r="L76" s="8"/>
      <c r="M76" s="9"/>
      <c r="N76" s="9"/>
      <c r="O76" s="9"/>
      <c r="P76" s="9"/>
      <c r="Q76" s="9"/>
      <c r="R76" s="9"/>
      <c r="T76" s="11"/>
      <c r="U76" s="11"/>
      <c r="V76" s="11"/>
      <c r="W76" s="11"/>
      <c r="X76" s="11"/>
      <c r="Y76" s="11"/>
    </row>
    <row r="77" spans="2:27" x14ac:dyDescent="0.3">
      <c r="B77" t="s">
        <v>18</v>
      </c>
      <c r="C77" s="7" t="s">
        <v>29</v>
      </c>
      <c r="AA77" s="7" t="s">
        <v>55</v>
      </c>
    </row>
    <row r="78" spans="2:27" x14ac:dyDescent="0.3">
      <c r="B78" t="s">
        <v>23</v>
      </c>
      <c r="C78" s="7" t="s">
        <v>35</v>
      </c>
      <c r="AA78" s="7" t="s">
        <v>55</v>
      </c>
    </row>
    <row r="79" spans="2:27" x14ac:dyDescent="0.3">
      <c r="B79" t="s">
        <v>24</v>
      </c>
      <c r="C79" s="7" t="s">
        <v>36</v>
      </c>
      <c r="AA79" s="7" t="s">
        <v>55</v>
      </c>
    </row>
    <row r="80" spans="2:27" x14ac:dyDescent="0.3">
      <c r="B80" t="s">
        <v>25</v>
      </c>
      <c r="C80" s="7" t="s">
        <v>37</v>
      </c>
      <c r="AA80" s="7" t="s">
        <v>55</v>
      </c>
    </row>
  </sheetData>
  <phoneticPr fontId="5" type="noConversion"/>
  <hyperlinks>
    <hyperlink ref="B4" r:id="rId1" xr:uid="{FDD883F8-391B-4A23-AC9F-C4D2A9F4ACB5}"/>
    <hyperlink ref="B6" r:id="rId2" xr:uid="{D4F8AB4E-B66E-479C-AD13-108D046F4CBE}"/>
    <hyperlink ref="B9" r:id="rId3" xr:uid="{199EA39C-261E-4957-BEB2-737129BC4C90}"/>
    <hyperlink ref="B7" r:id="rId4" xr:uid="{7D6D30E0-375F-4906-A54A-DDBA36D572EE}"/>
    <hyperlink ref="B11" r:id="rId5" xr:uid="{ED7EA25F-241B-4460-96B6-3B96A6EA05CB}"/>
    <hyperlink ref="B18" r:id="rId6" xr:uid="{067B96BC-CD39-474D-B3F9-D2B2087B3A61}"/>
    <hyperlink ref="B19" r:id="rId7" xr:uid="{5F163C80-38C2-464D-A54B-1991DBE92DAE}"/>
    <hyperlink ref="B15" r:id="rId8" display="Salesforce.com" xr:uid="{93D87434-2443-4971-9137-D6F1AC82040E}"/>
    <hyperlink ref="B41" r:id="rId9" xr:uid="{0A593B9D-DB8E-4D20-9333-4BFFE4871798}"/>
    <hyperlink ref="B30" r:id="rId10" xr:uid="{10E4FD51-7038-45AA-AC3C-1594C7E69E7F}"/>
    <hyperlink ref="B53" r:id="rId11" xr:uid="{E2DF0D1C-29B2-4E00-84AF-31CF689ABFB3}"/>
    <hyperlink ref="B14" r:id="rId12" xr:uid="{EE0E652E-C275-4798-8F34-5D9204EC3F09}"/>
    <hyperlink ref="B32" r:id="rId13" xr:uid="{00E5FEAB-AC7E-4A58-8E54-A8AFBC200B27}"/>
    <hyperlink ref="B10" r:id="rId14" xr:uid="{36D0E700-6724-4ECE-805A-A69DF2511058}"/>
    <hyperlink ref="B39" r:id="rId15" xr:uid="{D6E6111D-085D-4AD7-B108-54A545359473}"/>
    <hyperlink ref="B49" r:id="rId16" xr:uid="{BAA20A0A-ED96-43D5-9159-C8669F65FEC8}"/>
    <hyperlink ref="B17" r:id="rId17" xr:uid="{499D2878-2294-4D2B-97BC-62D9C52B6F67}"/>
    <hyperlink ref="B28" r:id="rId18" xr:uid="{26827201-FDC2-4F19-A8D2-20FC3BB18B40}"/>
    <hyperlink ref="B54" r:id="rId19" xr:uid="{582B8A04-7FC6-4DFB-B7AE-827EA6E42A84}"/>
    <hyperlink ref="B26" r:id="rId20" xr:uid="{4DE42159-792A-4573-831E-56201D6A438A}"/>
    <hyperlink ref="B33" r:id="rId21" xr:uid="{E573422A-BA41-412F-AE13-CE6E5F747D4C}"/>
    <hyperlink ref="B50" r:id="rId22" xr:uid="{05291EF6-28E1-45B1-9D62-A7A481FC2A7E}"/>
    <hyperlink ref="B25" r:id="rId23" xr:uid="{8557C56C-A1A6-4799-A97E-27D16263FD56}"/>
    <hyperlink ref="B8" r:id="rId24" xr:uid="{46622E50-4FA8-4F9A-B3BF-D336B9D843AA}"/>
    <hyperlink ref="B56" r:id="rId25" xr:uid="{5BF10660-36E0-42BB-892E-457ADEC233AB}"/>
    <hyperlink ref="B37" r:id="rId26" xr:uid="{58D79405-6560-476F-8CA2-022BFD1EADA6}"/>
    <hyperlink ref="B47" r:id="rId27" xr:uid="{4A0CE2B8-04BB-4941-92BE-6DB997CD14FE}"/>
    <hyperlink ref="B57" r:id="rId28" xr:uid="{966096F2-578C-439D-9F69-51648E2559C1}"/>
    <hyperlink ref="B5" r:id="rId29" xr:uid="{72B93C8C-F457-48A0-AAA2-2D120A01F301}"/>
    <hyperlink ref="B24" r:id="rId30" xr:uid="{521D2BEF-7C6B-4E69-B7DB-C4A11DC7F03D}"/>
    <hyperlink ref="B27" r:id="rId31" xr:uid="{726807AA-7E47-4743-9CB3-25D49F7C8821}"/>
    <hyperlink ref="B12" r:id="rId32" xr:uid="{15312B10-4081-4DD8-B770-7475AD3247C2}"/>
    <hyperlink ref="B13" r:id="rId33" xr:uid="{DA6C35BB-FDB4-4FCC-862D-D80F72891D1C}"/>
    <hyperlink ref="B44" r:id="rId34" xr:uid="{21B77EB6-7439-4B9C-B015-92F05D642187}"/>
    <hyperlink ref="B31" r:id="rId35" xr:uid="{992F30A7-9484-40C5-B181-EF3E2B75BB5B}"/>
    <hyperlink ref="B23" r:id="rId36" xr:uid="{D71D0207-8577-4517-9CFA-69A248404CEE}"/>
    <hyperlink ref="B46" r:id="rId37" xr:uid="{50E1C81F-2265-4E38-B629-C63B8E7103B8}"/>
    <hyperlink ref="B35" r:id="rId38" display="SOFI.xlsx" xr:uid="{56EADF64-15FA-4DC2-B8F1-8E237685384B}"/>
    <hyperlink ref="B58" r:id="rId39" xr:uid="{EE9850D5-05A9-4AEF-B4C3-F4C54EBE90C5}"/>
    <hyperlink ref="B16" r:id="rId40" xr:uid="{0346A791-92AC-4451-8AEC-3FEF42C00D47}"/>
    <hyperlink ref="B48" r:id="rId41" xr:uid="{A8212C21-9C8B-49E6-9A72-68988D96BA17}"/>
    <hyperlink ref="B55" r:id="rId42" xr:uid="{E70074D3-D5EA-466E-BF05-423548EBAAFF}"/>
    <hyperlink ref="B51" r:id="rId43" xr:uid="{6EC2A6B3-6F5C-4CB8-9D99-D29057F0564C}"/>
    <hyperlink ref="B45" r:id="rId44" xr:uid="{E1697C11-4BE0-449B-8830-27CF7FDD0941}"/>
    <hyperlink ref="B74" r:id="rId45" xr:uid="{DE49A12B-6A45-47DC-94D1-4C4CC03A6F40}"/>
    <hyperlink ref="B61" r:id="rId46" xr:uid="{40AFBA70-BAFD-48F6-B0BE-86FDE0718294}"/>
    <hyperlink ref="B59" r:id="rId47" xr:uid="{F340AFAD-8588-4C00-B23B-2A90F3B6AD07}"/>
    <hyperlink ref="B22" r:id="rId48" xr:uid="{69026323-396B-43F9-BC64-FC907C80D469}"/>
    <hyperlink ref="B60" r:id="rId49" xr:uid="{FF0A9E29-1E9D-4622-8331-45E15C5FC212}"/>
    <hyperlink ref="B20" r:id="rId50" xr:uid="{CF98E437-C519-4533-BBF7-B4AB4704929D}"/>
    <hyperlink ref="B43" r:id="rId51" xr:uid="{38D75976-69D3-4C6C-B181-44019574BD92}"/>
    <hyperlink ref="B36" r:id="rId52" xr:uid="{B6E92712-84DB-4402-91DC-7BA504A1FF5D}"/>
    <hyperlink ref="B42" r:id="rId53" xr:uid="{1AD0D70F-9385-4871-AD60-ABE352CDC82C}"/>
    <hyperlink ref="B52" r:id="rId54" xr:uid="{C56234F2-911B-4144-AA8B-EA39512F2749}"/>
    <hyperlink ref="B34" r:id="rId55" xr:uid="{41FD82F1-FA88-47A8-B89A-C49B5EFF1DC5}"/>
    <hyperlink ref="B29" r:id="rId56" xr:uid="{AE50C18A-BCF5-4ED8-881B-37D12746B425}"/>
    <hyperlink ref="B21" r:id="rId57" xr:uid="{A9FB40FB-BCAE-4E3A-9EF1-A59DFEE9D933}"/>
  </hyperlinks>
  <pageMargins left="0.7" right="0.7" top="0.75" bottom="0.75" header="0.3" footer="0.3"/>
  <pageSetup paperSize="9" orientation="portrait" horizontalDpi="4294967293" verticalDpi="300" r:id="rId5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Mniszek</cp:lastModifiedBy>
  <dcterms:created xsi:type="dcterms:W3CDTF">2020-09-19T10:58:03Z</dcterms:created>
  <dcterms:modified xsi:type="dcterms:W3CDTF">2025-04-26T09:20:41Z</dcterms:modified>
</cp:coreProperties>
</file>