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ntos\Desktop\Financial Analysis\"/>
    </mc:Choice>
  </mc:AlternateContent>
  <xr:revisionPtr revIDLastSave="0" documentId="13_ncr:1_{18137182-3485-4FEE-99C2-22BE29C78D12}" xr6:coauthVersionLast="47" xr6:coauthVersionMax="47" xr10:uidLastSave="{00000000-0000-0000-0000-000000000000}"/>
  <bookViews>
    <workbookView xWindow="-108" yWindow="-108" windowWidth="23256" windowHeight="12576" xr2:uid="{40711DBD-7A53-4994-9FF1-9E754821B18D}"/>
  </bookViews>
  <sheets>
    <sheet name="Main" sheetId="1" r:id="rId1"/>
    <sheet name="Upgrades" sheetId="3" r:id="rId2"/>
    <sheet name="Stats"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5" i="1"/>
  <c r="E3" i="1" l="1"/>
  <c r="D8" i="1" l="1"/>
  <c r="C8" i="1"/>
  <c r="C7" i="1" l="1"/>
  <c r="D6" i="1" l="1"/>
  <c r="C6" i="1"/>
  <c r="D5" i="1"/>
  <c r="C5" i="1"/>
  <c r="C4" i="1" l="1"/>
  <c r="C3" i="1"/>
  <c r="D7" i="1" l="1"/>
  <c r="C9" i="1"/>
  <c r="D3" i="4"/>
  <c r="Q10" i="4" s="1"/>
  <c r="K3" i="4"/>
  <c r="M3" i="4"/>
  <c r="R3" i="4"/>
  <c r="K4" i="4"/>
  <c r="M4" i="4"/>
  <c r="R4" i="4"/>
  <c r="K5" i="4"/>
  <c r="R5" i="4"/>
  <c r="K6" i="4"/>
  <c r="R6" i="4"/>
  <c r="K7" i="4"/>
  <c r="R7" i="4"/>
  <c r="K8" i="4"/>
  <c r="R8" i="4"/>
  <c r="K9" i="4"/>
  <c r="R9" i="4"/>
  <c r="K10" i="4"/>
  <c r="M10" i="4"/>
  <c r="M19" i="4"/>
  <c r="O19" i="4"/>
  <c r="Q19" i="4"/>
  <c r="AO19" i="4"/>
  <c r="M20" i="4"/>
  <c r="N20" i="4"/>
  <c r="O20" i="4" s="1"/>
  <c r="AO20" i="4"/>
  <c r="M21" i="4"/>
  <c r="N21" i="4"/>
  <c r="Q21" i="4" s="1"/>
  <c r="AO21" i="4"/>
  <c r="M22" i="4"/>
  <c r="N22" i="4"/>
  <c r="Q22" i="4"/>
  <c r="AO22" i="4"/>
  <c r="M23" i="4"/>
  <c r="N23" i="4"/>
  <c r="Q23" i="4"/>
  <c r="AO23" i="4"/>
  <c r="M24" i="4"/>
  <c r="N24" i="4"/>
  <c r="Q24" i="4"/>
  <c r="AO24" i="4"/>
  <c r="M25" i="4"/>
  <c r="N25" i="4"/>
  <c r="Q25" i="4"/>
  <c r="AO25" i="4"/>
  <c r="M26" i="4"/>
  <c r="N26" i="4"/>
  <c r="Q26" i="4"/>
  <c r="AO26" i="4"/>
  <c r="M27" i="4"/>
  <c r="N27" i="4"/>
  <c r="Q27" i="4"/>
  <c r="AO27" i="4"/>
  <c r="M28" i="4"/>
  <c r="N28" i="4"/>
  <c r="Q28" i="4"/>
  <c r="AO28" i="4"/>
  <c r="M29" i="4"/>
  <c r="N29" i="4"/>
  <c r="Q29" i="4"/>
  <c r="AO29" i="4"/>
  <c r="M30" i="4"/>
  <c r="N30" i="4"/>
  <c r="Q30" i="4"/>
  <c r="AO30" i="4"/>
  <c r="P31" i="4"/>
  <c r="L36" i="4"/>
  <c r="M36" i="4"/>
  <c r="N36" i="4"/>
  <c r="P36" i="4"/>
  <c r="Q36" i="4"/>
  <c r="R36" i="4"/>
  <c r="L37" i="4"/>
  <c r="M37" i="4"/>
  <c r="N37" i="4"/>
  <c r="P37" i="4" s="1"/>
  <c r="R37" i="4" s="1"/>
  <c r="Q37" i="4"/>
  <c r="L38" i="4"/>
  <c r="M38" i="4"/>
  <c r="N38" i="4"/>
  <c r="P38" i="4" s="1"/>
  <c r="R38" i="4" s="1"/>
  <c r="Q38" i="4"/>
  <c r="L39" i="4"/>
  <c r="M39" i="4"/>
  <c r="N39" i="4"/>
  <c r="P39" i="4"/>
  <c r="R39" i="4" s="1"/>
  <c r="Q39" i="4"/>
  <c r="O40" i="4"/>
  <c r="J42" i="4"/>
  <c r="J43" i="4"/>
  <c r="K43" i="4"/>
  <c r="J44" i="4"/>
  <c r="K48" i="4"/>
  <c r="K49" i="4" s="1"/>
  <c r="J49" i="4"/>
  <c r="M54" i="4"/>
  <c r="N54" i="4"/>
  <c r="Q54" i="4"/>
  <c r="R54" i="4"/>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M55" i="4"/>
  <c r="N55" i="4"/>
  <c r="Q55" i="4" s="1"/>
  <c r="M56" i="4"/>
  <c r="N56" i="4"/>
  <c r="Q56" i="4"/>
  <c r="M57" i="4"/>
  <c r="N57" i="4"/>
  <c r="Q57" i="4" s="1"/>
  <c r="M58" i="4"/>
  <c r="N58" i="4"/>
  <c r="Q58" i="4"/>
  <c r="M59" i="4"/>
  <c r="N59" i="4"/>
  <c r="Q59" i="4" s="1"/>
  <c r="M60" i="4"/>
  <c r="N60" i="4"/>
  <c r="Q60" i="4"/>
  <c r="M61" i="4"/>
  <c r="N61" i="4"/>
  <c r="Q61" i="4" s="1"/>
  <c r="M62" i="4"/>
  <c r="N62" i="4"/>
  <c r="Q62" i="4"/>
  <c r="M63" i="4"/>
  <c r="N63" i="4"/>
  <c r="Q63" i="4" s="1"/>
  <c r="M64" i="4"/>
  <c r="N64" i="4"/>
  <c r="Q64" i="4"/>
  <c r="M65" i="4"/>
  <c r="N65" i="4"/>
  <c r="Q65" i="4" s="1"/>
  <c r="M66" i="4"/>
  <c r="N66" i="4"/>
  <c r="Q66" i="4"/>
  <c r="M67" i="4"/>
  <c r="N67" i="4"/>
  <c r="Q67" i="4" s="1"/>
  <c r="M68" i="4"/>
  <c r="N68" i="4"/>
  <c r="Q68" i="4"/>
  <c r="M69" i="4"/>
  <c r="N69" i="4"/>
  <c r="Q69" i="4" s="1"/>
  <c r="M70" i="4"/>
  <c r="N70" i="4"/>
  <c r="Q70" i="4"/>
  <c r="M71" i="4"/>
  <c r="N71" i="4"/>
  <c r="Q71" i="4" s="1"/>
  <c r="M72" i="4"/>
  <c r="N72" i="4"/>
  <c r="Q72" i="4"/>
  <c r="M73" i="4"/>
  <c r="N73" i="4"/>
  <c r="Q73" i="4" s="1"/>
  <c r="M74" i="4"/>
  <c r="N74" i="4"/>
  <c r="Q74" i="4"/>
  <c r="M75" i="4"/>
  <c r="N75" i="4"/>
  <c r="Q75" i="4" s="1"/>
  <c r="M76" i="4"/>
  <c r="N76" i="4"/>
  <c r="Q76" i="4"/>
  <c r="M77" i="4"/>
  <c r="N77" i="4"/>
  <c r="Q77" i="4" s="1"/>
  <c r="M78" i="4"/>
  <c r="N78" i="4"/>
  <c r="Q78" i="4"/>
  <c r="M79" i="4"/>
  <c r="N79" i="4"/>
  <c r="Q79" i="4" s="1"/>
  <c r="M80" i="4"/>
  <c r="N80" i="4"/>
  <c r="Q80" i="4"/>
  <c r="M81" i="4"/>
  <c r="N81" i="4"/>
  <c r="Q81" i="4" s="1"/>
  <c r="M82" i="4"/>
  <c r="N82" i="4"/>
  <c r="Q82" i="4"/>
  <c r="M83" i="4"/>
  <c r="N83" i="4"/>
  <c r="Q83" i="4" s="1"/>
  <c r="M84" i="4"/>
  <c r="N84" i="4"/>
  <c r="Q84" i="4"/>
  <c r="M85" i="4"/>
  <c r="N85" i="4"/>
  <c r="Q85" i="4" s="1"/>
  <c r="M86" i="4"/>
  <c r="N86" i="4"/>
  <c r="Q86" i="4"/>
  <c r="M87" i="4"/>
  <c r="N87" i="4"/>
  <c r="Q87" i="4" s="1"/>
  <c r="O93" i="4"/>
  <c r="P93" i="4"/>
  <c r="H3" i="1"/>
  <c r="S7" i="4" l="1"/>
  <c r="S9" i="4"/>
  <c r="S4" i="4"/>
  <c r="Q7" i="4"/>
  <c r="S6" i="4"/>
  <c r="S8" i="4"/>
  <c r="Q6" i="4"/>
  <c r="S3" i="4"/>
  <c r="M13" i="4"/>
  <c r="Q20" i="4"/>
  <c r="R20" i="4"/>
  <c r="R21" i="4" s="1"/>
  <c r="R22" i="4" s="1"/>
  <c r="R23" i="4" s="1"/>
  <c r="R24" i="4" s="1"/>
  <c r="R25" i="4" s="1"/>
  <c r="R26" i="4" s="1"/>
  <c r="R27" i="4" s="1"/>
  <c r="R28" i="4" s="1"/>
  <c r="R29" i="4" s="1"/>
  <c r="R30" i="4" s="1"/>
  <c r="P40" i="4"/>
  <c r="N93" i="4"/>
  <c r="R93" i="4" s="1"/>
  <c r="N12" i="4"/>
  <c r="Q3" i="4"/>
  <c r="N40" i="4"/>
  <c r="M12" i="4"/>
  <c r="Q8" i="4"/>
  <c r="S5" i="4"/>
  <c r="Q4" i="4"/>
  <c r="R10" i="4"/>
  <c r="S10" i="4" s="1"/>
  <c r="Q9" i="4"/>
  <c r="Q5" i="4"/>
  <c r="O5" i="4" l="1"/>
  <c r="O9" i="4"/>
  <c r="O8" i="4"/>
  <c r="O3" i="4"/>
  <c r="O7" i="4"/>
  <c r="O6" i="4"/>
  <c r="N13" i="4"/>
  <c r="P12" i="4"/>
  <c r="O10" i="4"/>
  <c r="R40" i="4"/>
  <c r="O4" i="4"/>
  <c r="O12" i="4"/>
  <c r="R31" i="4"/>
  <c r="Q31" i="4"/>
  <c r="O13" i="4" l="1"/>
  <c r="P10" i="4"/>
  <c r="P5" i="4"/>
  <c r="P9" i="4"/>
  <c r="P4" i="4"/>
  <c r="P8" i="4"/>
  <c r="P3" i="4"/>
  <c r="R13" i="4"/>
  <c r="S13" i="4" s="1"/>
  <c r="P7" i="4"/>
  <c r="P6" i="4"/>
  <c r="P13" i="4" l="1"/>
  <c r="D3" i="1" l="1"/>
  <c r="E4" i="1" l="1"/>
  <c r="E9" i="1" s="1"/>
  <c r="D4" i="1" l="1"/>
  <c r="D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author>
  </authors>
  <commentList>
    <comment ref="S2" authorId="0" shapeId="0" xr:uid="{82ECC4FA-CEC8-4585-BCF6-7F08C36F70B0}">
      <text>
        <r>
          <rPr>
            <b/>
            <sz val="9"/>
            <color indexed="81"/>
            <rFont val="Tahoma"/>
            <family val="2"/>
          </rPr>
          <t>Anton:</t>
        </r>
        <r>
          <rPr>
            <sz val="9"/>
            <color indexed="81"/>
            <rFont val="Tahoma"/>
            <family val="2"/>
          </rPr>
          <t xml:space="preserve">
figure out how to calculate the annual return with constant returns properly</t>
        </r>
      </text>
    </comment>
    <comment ref="T2" authorId="0" shapeId="0" xr:uid="{C4FB0280-EB1F-4BB5-92F5-77695B2CB453}">
      <text>
        <r>
          <rPr>
            <b/>
            <sz val="9"/>
            <color indexed="81"/>
            <rFont val="Tahoma"/>
            <family val="2"/>
          </rPr>
          <t>Anton:</t>
        </r>
        <r>
          <rPr>
            <sz val="9"/>
            <color indexed="81"/>
            <rFont val="Tahoma"/>
            <family val="2"/>
          </rPr>
          <t xml:space="preserve">
put these somewhere else or change it cause difficult to read</t>
        </r>
      </text>
    </comment>
  </commentList>
</comments>
</file>

<file path=xl/sharedStrings.xml><?xml version="1.0" encoding="utf-8"?>
<sst xmlns="http://schemas.openxmlformats.org/spreadsheetml/2006/main" count="310" uniqueCount="133">
  <si>
    <t>Tech</t>
  </si>
  <si>
    <t>Models</t>
  </si>
  <si>
    <t>Automotive</t>
  </si>
  <si>
    <t>Retail</t>
  </si>
  <si>
    <t>Defence</t>
  </si>
  <si>
    <t>Space</t>
  </si>
  <si>
    <t>Energy</t>
  </si>
  <si>
    <t>Retired</t>
  </si>
  <si>
    <t>github, and BACKUP</t>
  </si>
  <si>
    <t>start doing stock analysis reports</t>
  </si>
  <si>
    <t>clean up FA folder</t>
  </si>
  <si>
    <t>update stats for portfolio and maybe percentages think about conviction (perhaps make feb (2025) start of my financial year?)</t>
  </si>
  <si>
    <t>more in-depth statement analysis</t>
  </si>
  <si>
    <t>track more stocks</t>
  </si>
  <si>
    <t>improve trackers on main and tradingview</t>
  </si>
  <si>
    <t>update dates etc. on main</t>
  </si>
  <si>
    <t>Last checked</t>
  </si>
  <si>
    <t>Today</t>
  </si>
  <si>
    <t>Stocks</t>
  </si>
  <si>
    <t>Value</t>
  </si>
  <si>
    <t>Comments</t>
  </si>
  <si>
    <t>Return</t>
  </si>
  <si>
    <t>Period</t>
  </si>
  <si>
    <t>Holding</t>
  </si>
  <si>
    <t>Result</t>
  </si>
  <si>
    <t>Initial</t>
  </si>
  <si>
    <t>Target</t>
  </si>
  <si>
    <t>Variance</t>
  </si>
  <si>
    <t>Forecast</t>
  </si>
  <si>
    <t>Purchase</t>
  </si>
  <si>
    <t>Date</t>
  </si>
  <si>
    <t>Shares</t>
  </si>
  <si>
    <t>Position</t>
  </si>
  <si>
    <t>Portfolio</t>
  </si>
  <si>
    <t>5 days</t>
  </si>
  <si>
    <t>Short (CFD)</t>
  </si>
  <si>
    <t>IONQ</t>
  </si>
  <si>
    <t>31 days</t>
  </si>
  <si>
    <t>46 days</t>
  </si>
  <si>
    <t>Retarded trade at with way too much margin at too low of a price</t>
  </si>
  <si>
    <t>Rushed long bought minutes before a terrible earnings release, forecast was $1.40</t>
  </si>
  <si>
    <t>18 days</t>
  </si>
  <si>
    <t>Long (CFD)</t>
  </si>
  <si>
    <t>CHGG</t>
  </si>
  <si>
    <t>15 days</t>
  </si>
  <si>
    <t>RIVN</t>
  </si>
  <si>
    <t>27 days</t>
  </si>
  <si>
    <t>52 days</t>
  </si>
  <si>
    <t>17 days</t>
  </si>
  <si>
    <t>Very rushed short without looking at the cash flow, calculated a price target of $3.71, yet with FCF a real price target of $12.06</t>
  </si>
  <si>
    <t>3 days</t>
  </si>
  <si>
    <t>CRSR</t>
  </si>
  <si>
    <t>1 day</t>
  </si>
  <si>
    <t>8 days</t>
  </si>
  <si>
    <t>16 days</t>
  </si>
  <si>
    <t>0 days</t>
  </si>
  <si>
    <t>9 days</t>
  </si>
  <si>
    <t>Cumulative</t>
  </si>
  <si>
    <t>Sell</t>
  </si>
  <si>
    <t>Archive</t>
  </si>
  <si>
    <t>me</t>
  </si>
  <si>
    <t>p</t>
  </si>
  <si>
    <t>m</t>
  </si>
  <si>
    <t>additional</t>
  </si>
  <si>
    <t>base</t>
  </si>
  <si>
    <t>Total</t>
  </si>
  <si>
    <t>Channel breakthrough, averaged down with 480 extra shares, averaged down further after reverse split, but very bad entries on both, has recovered well and holding at higher than forecast, don't know if this is a mistake, earnings soon, sold half at good price</t>
  </si>
  <si>
    <t>MLGO</t>
  </si>
  <si>
    <t>FCEL</t>
  </si>
  <si>
    <t>Still in a descending channel, seems to be stabilising at 11.06 resistance, waiting, forecast downgraded from $20.03 after earnings, bought 20 more shares on a downtrend, could have waited for a better price though, bought 25 more at $9.06 but in a descending channel though, although double bottom? could be really correct or really wrong</t>
  </si>
  <si>
    <t>STNE</t>
  </si>
  <si>
    <t>GBP/USD</t>
  </si>
  <si>
    <t>Channel breakthrough, sold half at £7.53 due to technicals, was correct, forecast upgraded, holding threshold increased, sold another 10 shares on a spike to fib level of around £10, time will tell if that's a good play</t>
  </si>
  <si>
    <t>85 days</t>
  </si>
  <si>
    <t>WISE</t>
  </si>
  <si>
    <t>Channel breakthrough, sold half at £7.53 due to technicals, was correct, forecast upgraded, holding threshold increased</t>
  </si>
  <si>
    <t>83 days</t>
  </si>
  <si>
    <t>Stop loss, maybe not a great time to short in a bull market</t>
  </si>
  <si>
    <t>PLTR</t>
  </si>
  <si>
    <t>NFLX</t>
  </si>
  <si>
    <t>Sold half close to the top of a bullish period</t>
  </si>
  <si>
    <t>36 days</t>
  </si>
  <si>
    <t>Biotech short of drug that scientifically should not work</t>
  </si>
  <si>
    <t>4 days</t>
  </si>
  <si>
    <t>SAVA</t>
  </si>
  <si>
    <t>Seems undervalued despite negative valuation, revalue at earnings; didn't follow my own target, bought in and sold without thinking</t>
  </si>
  <si>
    <t>6 days</t>
  </si>
  <si>
    <t>A good short exploits a company's major weakness?</t>
  </si>
  <si>
    <t>Channel breakthrough, sold half at the top of it</t>
  </si>
  <si>
    <t>29 days</t>
  </si>
  <si>
    <t>Do not short good companies!</t>
  </si>
  <si>
    <t>"</t>
  </si>
  <si>
    <t>Lessons:</t>
  </si>
  <si>
    <t>24 days</t>
  </si>
  <si>
    <t>PYPL</t>
  </si>
  <si>
    <t>Yen carry trade unwind panic sell</t>
  </si>
  <si>
    <t>39 days</t>
  </si>
  <si>
    <t>Needs an update</t>
  </si>
  <si>
    <t>Sold too early? Target price increased hugely after Q4 earnings</t>
  </si>
  <si>
    <t>65 days</t>
  </si>
  <si>
    <t>Long</t>
  </si>
  <si>
    <t>VOW</t>
  </si>
  <si>
    <t>Planning a long/already long</t>
  </si>
  <si>
    <t>Potential short</t>
  </si>
  <si>
    <t>Potential long</t>
  </si>
  <si>
    <t>&gt;50%</t>
  </si>
  <si>
    <t>Heavily undervalued (buy)</t>
  </si>
  <si>
    <t>Cash</t>
  </si>
  <si>
    <t>30-50%</t>
  </si>
  <si>
    <t>Undervalued (hold/buy)</t>
  </si>
  <si>
    <t>10-30%</t>
  </si>
  <si>
    <t>Slightly undervalued (hold)</t>
  </si>
  <si>
    <t>GFIN</t>
  </si>
  <si>
    <t>within 10%</t>
  </si>
  <si>
    <t>Fair value (hold/sell)</t>
  </si>
  <si>
    <t>BOSS</t>
  </si>
  <si>
    <t>Slightly overvalued (sell)</t>
  </si>
  <si>
    <t>Overvalued (sell)</t>
  </si>
  <si>
    <t>BMW</t>
  </si>
  <si>
    <t>Heavily overvalued (short)</t>
  </si>
  <si>
    <t>FCCN</t>
  </si>
  <si>
    <t>Ratings</t>
  </si>
  <si>
    <t>BOO</t>
  </si>
  <si>
    <t>really bad second purchase in a downtrend, has reduced my returns</t>
  </si>
  <si>
    <t>ASOS</t>
  </si>
  <si>
    <t>Initally two shares bought at $13, however bought third share at $11.72 on 05/11/2020 when stock was in downtrend, but could have waited more until technicals were better, as stock fell further until it was held in a range of $11-$12.</t>
  </si>
  <si>
    <t>GME</t>
  </si>
  <si>
    <t>Annual</t>
  </si>
  <si>
    <t>Stake</t>
  </si>
  <si>
    <t>Diversity</t>
  </si>
  <si>
    <t>Average consensus for calendar Q2 2020</t>
  </si>
  <si>
    <t>EV/E</t>
  </si>
  <si>
    <t>EV/R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</si>
</sst>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164" formatCode="&quot;£&quot;#,##0"/>
    <numFmt numFmtId="165" formatCode="[$$-409]#,##0.00"/>
    <numFmt numFmtId="166" formatCode="0\ &quot;days&quot;"/>
    <numFmt numFmtId="167" formatCode="&quot;£&quot;#,##0.00"/>
    <numFmt numFmtId="168" formatCode="#,##0.00\ [$€-1]"/>
    <numFmt numFmtId="169" formatCode="[$£-809]#,##0.00"/>
    <numFmt numFmtId="170" formatCode="0\x"/>
  </numFmts>
  <fonts count="1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i/>
      <sz val="11"/>
      <color theme="1"/>
      <name val="Calibri"/>
      <family val="2"/>
      <scheme val="minor"/>
    </font>
    <font>
      <b/>
      <sz val="9"/>
      <color indexed="81"/>
      <name val="Tahoma"/>
      <family val="2"/>
    </font>
    <font>
      <sz val="9"/>
      <color indexed="81"/>
      <name val="Tahoma"/>
      <family val="2"/>
    </font>
    <font>
      <b/>
      <sz val="11"/>
      <color theme="0"/>
      <name val="Calibri"/>
      <family val="2"/>
      <scheme val="minor"/>
    </font>
    <font>
      <sz val="11"/>
      <color theme="0"/>
      <name val="Calibri"/>
      <family val="2"/>
      <scheme val="minor"/>
    </font>
    <font>
      <i/>
      <sz val="11"/>
      <color theme="0"/>
      <name val="Calibri"/>
      <family val="2"/>
      <scheme val="minor"/>
    </font>
    <font>
      <u/>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1"/>
        <bgColor indexed="64"/>
      </patternFill>
    </fill>
  </fills>
  <borders count="11">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cellStyleXfs>
  <cellXfs count="68">
    <xf numFmtId="0" fontId="0" fillId="0" borderId="0" xfId="0"/>
    <xf numFmtId="0" fontId="5" fillId="0" borderId="0" xfId="0" applyFont="1"/>
    <xf numFmtId="14" fontId="0" fillId="0" borderId="0" xfId="0" applyNumberFormat="1"/>
    <xf numFmtId="0" fontId="7" fillId="0" borderId="0" xfId="0" applyFont="1"/>
    <xf numFmtId="0" fontId="4" fillId="0" borderId="0" xfId="0" applyFont="1"/>
    <xf numFmtId="9" fontId="4" fillId="0" borderId="0" xfId="0" applyNumberFormat="1" applyFont="1"/>
    <xf numFmtId="164" fontId="4" fillId="0" borderId="0" xfId="0" applyNumberFormat="1" applyFont="1"/>
    <xf numFmtId="9" fontId="0" fillId="0" borderId="0" xfId="0" applyNumberFormat="1"/>
    <xf numFmtId="0" fontId="4" fillId="0" borderId="1" xfId="0" applyFont="1" applyBorder="1"/>
    <xf numFmtId="0" fontId="4" fillId="0" borderId="2" xfId="0" applyFont="1" applyBorder="1"/>
    <xf numFmtId="0" fontId="5" fillId="0" borderId="3" xfId="0" applyFont="1" applyBorder="1"/>
    <xf numFmtId="164"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165" fontId="0" fillId="0" borderId="0" xfId="0" applyNumberFormat="1"/>
    <xf numFmtId="0" fontId="8" fillId="0" borderId="4" xfId="4" applyFont="1" applyBorder="1"/>
    <xf numFmtId="0" fontId="0" fillId="0" borderId="0" xfId="0" applyAlignment="1">
      <alignment horizontal="right"/>
    </xf>
    <xf numFmtId="0" fontId="0" fillId="0" borderId="0" xfId="0" applyAlignment="1">
      <alignment horizontal="left"/>
    </xf>
    <xf numFmtId="0" fontId="0" fillId="0" borderId="5" xfId="0" applyBorder="1"/>
    <xf numFmtId="0" fontId="8" fillId="0" borderId="0" xfId="4" applyFont="1" applyBorder="1"/>
    <xf numFmtId="0" fontId="5" fillId="0" borderId="1" xfId="0" applyFont="1" applyBorder="1"/>
    <xf numFmtId="166" fontId="0" fillId="0" borderId="0" xfId="0" applyNumberFormat="1" applyAlignment="1">
      <alignment horizontal="right"/>
    </xf>
    <xf numFmtId="9" fontId="0" fillId="0" borderId="6" xfId="0" applyNumberFormat="1" applyBorder="1"/>
    <xf numFmtId="166" fontId="0" fillId="0" borderId="6" xfId="0" applyNumberFormat="1" applyBorder="1" applyAlignment="1">
      <alignment horizontal="right"/>
    </xf>
    <xf numFmtId="165" fontId="0" fillId="0" borderId="6" xfId="0" applyNumberFormat="1" applyBorder="1"/>
    <xf numFmtId="14" fontId="0" fillId="0" borderId="6" xfId="0" applyNumberFormat="1" applyBorder="1"/>
    <xf numFmtId="0" fontId="0" fillId="0" borderId="6" xfId="0" applyBorder="1"/>
    <xf numFmtId="0" fontId="0" fillId="0" borderId="7" xfId="0" applyBorder="1"/>
    <xf numFmtId="0" fontId="8" fillId="0" borderId="6" xfId="4" applyFont="1" applyBorder="1"/>
    <xf numFmtId="166" fontId="0" fillId="0" borderId="0" xfId="0" applyNumberFormat="1"/>
    <xf numFmtId="1" fontId="0" fillId="0" borderId="0" xfId="0" applyNumberFormat="1"/>
    <xf numFmtId="167" fontId="0" fillId="0" borderId="0" xfId="0" applyNumberFormat="1" applyAlignment="1">
      <alignment horizontal="right"/>
    </xf>
    <xf numFmtId="167" fontId="0" fillId="0" borderId="0" xfId="0" applyNumberFormat="1"/>
    <xf numFmtId="0" fontId="8" fillId="0" borderId="0" xfId="4" applyFont="1"/>
    <xf numFmtId="0" fontId="0" fillId="5" borderId="0" xfId="0" applyFill="1"/>
    <xf numFmtId="164" fontId="0" fillId="0" borderId="6" xfId="0" applyNumberFormat="1" applyBorder="1"/>
    <xf numFmtId="168" fontId="0" fillId="0" borderId="0" xfId="0" applyNumberFormat="1"/>
    <xf numFmtId="168" fontId="0" fillId="0" borderId="6" xfId="0" applyNumberFormat="1" applyBorder="1"/>
    <xf numFmtId="0" fontId="0" fillId="6" borderId="0" xfId="0" applyFill="1"/>
    <xf numFmtId="0" fontId="0" fillId="7" borderId="0" xfId="0" applyFill="1"/>
    <xf numFmtId="0" fontId="0" fillId="8" borderId="0" xfId="0" applyFill="1"/>
    <xf numFmtId="4" fontId="0" fillId="0" borderId="0" xfId="0" applyNumberFormat="1"/>
    <xf numFmtId="9" fontId="9" fillId="0" borderId="6" xfId="0" applyNumberFormat="1" applyFont="1" applyBorder="1"/>
    <xf numFmtId="9" fontId="4" fillId="0" borderId="6" xfId="0" applyNumberFormat="1" applyFont="1" applyBorder="1"/>
    <xf numFmtId="6" fontId="0" fillId="0" borderId="6" xfId="0" applyNumberFormat="1" applyBorder="1"/>
    <xf numFmtId="14" fontId="0" fillId="0" borderId="6" xfId="0" applyNumberFormat="1" applyBorder="1" applyAlignment="1">
      <alignment horizontal="right"/>
    </xf>
    <xf numFmtId="0" fontId="5" fillId="0" borderId="6" xfId="0" applyFont="1" applyBorder="1"/>
    <xf numFmtId="0" fontId="1" fillId="2" borderId="3" xfId="1" applyBorder="1"/>
    <xf numFmtId="0" fontId="0" fillId="0" borderId="2" xfId="0" applyBorder="1"/>
    <xf numFmtId="0" fontId="1" fillId="2" borderId="4" xfId="1" applyBorder="1"/>
    <xf numFmtId="0" fontId="3" fillId="4" borderId="4" xfId="3" applyBorder="1"/>
    <xf numFmtId="9" fontId="7" fillId="0" borderId="0" xfId="0" applyNumberFormat="1" applyFont="1"/>
    <xf numFmtId="169" fontId="0" fillId="0" borderId="0" xfId="0" applyNumberFormat="1"/>
    <xf numFmtId="0" fontId="2" fillId="3" borderId="4" xfId="2" applyBorder="1"/>
    <xf numFmtId="0" fontId="0" fillId="0" borderId="8" xfId="0" applyBorder="1"/>
    <xf numFmtId="0" fontId="5" fillId="0" borderId="9" xfId="0" applyFont="1" applyBorder="1"/>
    <xf numFmtId="49" fontId="0" fillId="0" borderId="0" xfId="0" applyNumberFormat="1" applyAlignment="1">
      <alignment horizontal="left"/>
    </xf>
    <xf numFmtId="14" fontId="0" fillId="0" borderId="0" xfId="0" applyNumberFormat="1" applyAlignment="1">
      <alignment horizontal="right"/>
    </xf>
    <xf numFmtId="0" fontId="13" fillId="9" borderId="10" xfId="0" applyFont="1" applyFill="1" applyBorder="1"/>
    <xf numFmtId="0" fontId="14" fillId="9" borderId="10" xfId="0" applyFont="1" applyFill="1" applyBorder="1" applyAlignment="1">
      <alignment horizontal="right"/>
    </xf>
    <xf numFmtId="0" fontId="15" fillId="9" borderId="10" xfId="4" applyFont="1" applyFill="1" applyBorder="1"/>
    <xf numFmtId="14" fontId="14" fillId="9" borderId="10" xfId="0" applyNumberFormat="1" applyFont="1" applyFill="1" applyBorder="1" applyAlignment="1">
      <alignment horizontal="right"/>
    </xf>
    <xf numFmtId="0" fontId="12" fillId="9" borderId="10" xfId="0" applyFont="1" applyFill="1" applyBorder="1" applyAlignment="1">
      <alignment horizontal="center"/>
    </xf>
    <xf numFmtId="0" fontId="15" fillId="9" borderId="10" xfId="4" applyFont="1" applyFill="1" applyBorder="1" applyAlignment="1">
      <alignment horizontal="center"/>
    </xf>
    <xf numFmtId="1" fontId="13" fillId="9" borderId="10" xfId="0" applyNumberFormat="1" applyFont="1" applyFill="1" applyBorder="1" applyAlignment="1">
      <alignment horizontal="center"/>
    </xf>
    <xf numFmtId="9" fontId="13" fillId="9" borderId="10" xfId="0" applyNumberFormat="1" applyFont="1" applyFill="1" applyBorder="1" applyAlignment="1">
      <alignment horizontal="center"/>
    </xf>
    <xf numFmtId="0" fontId="13" fillId="9" borderId="10" xfId="0" applyFont="1" applyFill="1" applyBorder="1" applyAlignment="1">
      <alignment horizontal="center"/>
    </xf>
    <xf numFmtId="170" fontId="13" fillId="9" borderId="10" xfId="0" applyNumberFormat="1" applyFont="1" applyFill="1" applyBorder="1" applyAlignment="1">
      <alignment horizontal="center"/>
    </xf>
  </cellXfs>
  <cellStyles count="5">
    <cellStyle name="Bad" xfId="2" builtinId="27"/>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tos\Desktop\Financial%20Analysis\Models%20(Tech).xlsx" TargetMode="External"/><Relationship Id="rId1" Type="http://schemas.openxmlformats.org/officeDocument/2006/relationships/externalLinkPath" Target="Models%20(Tech).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CCN.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antos\Desktop\Financial%20Analysis\BMW.xlsx" TargetMode="External"/><Relationship Id="rId1" Type="http://schemas.openxmlformats.org/officeDocument/2006/relationships/externalLinkPath" Target="BMW.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antos\Desktop\Financial%20Analysis\VOW.xlsx" TargetMode="External"/><Relationship Id="rId1" Type="http://schemas.openxmlformats.org/officeDocument/2006/relationships/externalLinkPath" Target="VOW.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OS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FI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tos\Desktop\Financial%20Analysis\Models%20(Automotive).xlsx" TargetMode="External"/><Relationship Id="rId1" Type="http://schemas.openxmlformats.org/officeDocument/2006/relationships/externalLinkPath" Target="Models%20(Automotiv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ntos\Desktop\Financial%20Analysis\Models%20(Retail)%20%7b2024%7d.xlsx" TargetMode="External"/><Relationship Id="rId1" Type="http://schemas.openxmlformats.org/officeDocument/2006/relationships/externalLinkPath" Target="Models%20(Retail)%20%7b2024%7d.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ntos\Desktop\Financial%20Analysis\Models%20(Defence).xlsx" TargetMode="External"/><Relationship Id="rId1" Type="http://schemas.openxmlformats.org/officeDocument/2006/relationships/externalLinkPath" Target="Models%20(Defence).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antos\Desktop\Financial%20Analysis\Models%20(Space).xlsx" TargetMode="External"/><Relationship Id="rId1" Type="http://schemas.openxmlformats.org/officeDocument/2006/relationships/externalLinkPath" Target="Models%20(Space).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antos\Desktop\Financial%20Analysis\Models%20(Energy).xlsx" TargetMode="External"/><Relationship Id="rId1" Type="http://schemas.openxmlformats.org/officeDocument/2006/relationships/externalLinkPath" Target="Models%20(Energy).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ntos\Desktop\Financial%20Analysis\GME.xlsx" TargetMode="External"/><Relationship Id="rId1" Type="http://schemas.openxmlformats.org/officeDocument/2006/relationships/externalLinkPath" Target="GME.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antos\Desktop\Financial%20Analysis\ASOS.xlsx" TargetMode="External"/><Relationship Id="rId1" Type="http://schemas.openxmlformats.org/officeDocument/2006/relationships/externalLinkPath" Target="ASOS.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antos\Desktop\Financial%20Analysis\BOO.xlsx" TargetMode="External"/><Relationship Id="rId1" Type="http://schemas.openxmlformats.org/officeDocument/2006/relationships/externalLinkPath" Target="BO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els"/>
    </sheetNames>
    <sheetDataSet>
      <sheetData sheetId="0">
        <row r="3">
          <cell r="M3">
            <v>22.232510933845937</v>
          </cell>
          <cell r="Y3">
            <v>-0.10677868464902869</v>
          </cell>
        </row>
        <row r="4">
          <cell r="B4" t="str">
            <v>Apple</v>
          </cell>
        </row>
        <row r="5">
          <cell r="B5" t="str">
            <v>NVIDIA</v>
          </cell>
        </row>
        <row r="6">
          <cell r="B6" t="str">
            <v>Microsoft</v>
          </cell>
        </row>
        <row r="7">
          <cell r="B7" t="str">
            <v>Alphabet</v>
          </cell>
        </row>
        <row r="8">
          <cell r="B8" t="str">
            <v>Amazon</v>
          </cell>
        </row>
        <row r="9">
          <cell r="B9" t="str">
            <v>Facebook</v>
          </cell>
        </row>
        <row r="10">
          <cell r="B10" t="str">
            <v>Tesla</v>
          </cell>
        </row>
        <row r="11">
          <cell r="B11" t="str">
            <v>Tencent</v>
          </cell>
        </row>
        <row r="12">
          <cell r="B12" t="str">
            <v>Visa</v>
          </cell>
        </row>
        <row r="13">
          <cell r="B13" t="str">
            <v>Mastercard</v>
          </cell>
        </row>
        <row r="14">
          <cell r="B14" t="str">
            <v>Netflix</v>
          </cell>
        </row>
        <row r="15">
          <cell r="B15" t="str">
            <v>Salesforce</v>
          </cell>
        </row>
        <row r="16">
          <cell r="B16" t="str">
            <v>American Express</v>
          </cell>
        </row>
        <row r="17">
          <cell r="B17" t="str">
            <v>Palantir</v>
          </cell>
        </row>
        <row r="18">
          <cell r="B18" t="str">
            <v>Samsung</v>
          </cell>
        </row>
        <row r="19">
          <cell r="B19" t="str">
            <v>Adobe</v>
          </cell>
        </row>
        <row r="20">
          <cell r="B20" t="str">
            <v>AMD</v>
          </cell>
        </row>
        <row r="21">
          <cell r="B21" t="str">
            <v>Fiserv</v>
          </cell>
        </row>
        <row r="22">
          <cell r="B22" t="str">
            <v>Intel</v>
          </cell>
        </row>
        <row r="23">
          <cell r="B23" t="str">
            <v>Spotify</v>
          </cell>
        </row>
        <row r="24">
          <cell r="B24" t="str">
            <v>Paypal</v>
          </cell>
        </row>
        <row r="25">
          <cell r="B25" t="str">
            <v>Coinbase</v>
          </cell>
        </row>
        <row r="26">
          <cell r="B26" t="str">
            <v>Snowflake</v>
          </cell>
        </row>
        <row r="27">
          <cell r="B27" t="str">
            <v>Global Payments</v>
          </cell>
        </row>
        <row r="28">
          <cell r="B28" t="str">
            <v>Roblox</v>
          </cell>
        </row>
        <row r="29">
          <cell r="B29" t="str">
            <v>Block</v>
          </cell>
        </row>
        <row r="30">
          <cell r="B30" t="str">
            <v>EPAM</v>
          </cell>
        </row>
        <row r="31">
          <cell r="B31" t="str">
            <v>Reddit</v>
          </cell>
        </row>
        <row r="32">
          <cell r="B32" t="str">
            <v>Snap Inc</v>
          </cell>
        </row>
        <row r="33">
          <cell r="B33" t="str">
            <v>Zoom Video</v>
          </cell>
        </row>
        <row r="34">
          <cell r="B34" t="str">
            <v>Duolingo</v>
          </cell>
        </row>
        <row r="35">
          <cell r="B35" t="str">
            <v>SoFi</v>
          </cell>
        </row>
        <row r="36">
          <cell r="B36" t="str">
            <v>Symbotic</v>
          </cell>
        </row>
        <row r="37">
          <cell r="B37" t="str">
            <v>Logitech</v>
          </cell>
        </row>
        <row r="38">
          <cell r="B38" t="str">
            <v>Shift4</v>
          </cell>
        </row>
        <row r="39">
          <cell r="B39" t="str">
            <v>Roku</v>
          </cell>
        </row>
        <row r="40">
          <cell r="B40" t="str">
            <v>Stride</v>
          </cell>
        </row>
        <row r="41">
          <cell r="B41" t="str">
            <v>GameStop</v>
          </cell>
        </row>
        <row r="42">
          <cell r="B42" t="str">
            <v>Novami</v>
          </cell>
        </row>
        <row r="43">
          <cell r="B43" t="str">
            <v>IonQ</v>
          </cell>
        </row>
        <row r="44">
          <cell r="B44" t="str">
            <v>Wise</v>
          </cell>
        </row>
        <row r="45">
          <cell r="B45" t="str">
            <v>PagSeguro</v>
          </cell>
        </row>
        <row r="46">
          <cell r="B46" t="str">
            <v>StoneCo</v>
          </cell>
        </row>
        <row r="47">
          <cell r="B47" t="str">
            <v>Paysafe</v>
          </cell>
        </row>
        <row r="48">
          <cell r="B48" t="str">
            <v>Opera</v>
          </cell>
        </row>
        <row r="49">
          <cell r="B49" t="str">
            <v>Sonos</v>
          </cell>
        </row>
        <row r="50">
          <cell r="B50" t="str">
            <v>Corsair Gaming</v>
          </cell>
        </row>
        <row r="51">
          <cell r="B51" t="str">
            <v>PlugPower</v>
          </cell>
        </row>
        <row r="52">
          <cell r="B52" t="str">
            <v>Gambling.com</v>
          </cell>
        </row>
        <row r="53">
          <cell r="B53" t="str">
            <v>Inseego</v>
          </cell>
        </row>
        <row r="54">
          <cell r="B54" t="str">
            <v>Atari</v>
          </cell>
        </row>
        <row r="55">
          <cell r="B55" t="str">
            <v>Chegg</v>
          </cell>
        </row>
        <row r="56">
          <cell r="B56" t="str">
            <v>Skillz</v>
          </cell>
        </row>
        <row r="57">
          <cell r="B57" t="str">
            <v>Roadzen</v>
          </cell>
        </row>
        <row r="58">
          <cell r="B58" t="str">
            <v>FuelCell</v>
          </cell>
        </row>
        <row r="59">
          <cell r="B59" t="str">
            <v>Koss</v>
          </cell>
        </row>
        <row r="60">
          <cell r="B60" t="str">
            <v>MicroAlgo</v>
          </cell>
        </row>
        <row r="61">
          <cell r="B61" t="str">
            <v>Arqit Quantum</v>
          </cell>
        </row>
        <row r="62">
          <cell r="B62" t="str">
            <v>Hewlett-Packard</v>
          </cell>
        </row>
        <row r="63">
          <cell r="B63" t="str">
            <v>HP Enterprise</v>
          </cell>
        </row>
        <row r="64">
          <cell r="B64" t="str">
            <v>Dell</v>
          </cell>
        </row>
        <row r="65">
          <cell r="B65" t="str">
            <v>Electronic Arts</v>
          </cell>
        </row>
        <row r="66">
          <cell r="B66" t="str">
            <v>Shopify</v>
          </cell>
        </row>
        <row r="67">
          <cell r="B67" t="str">
            <v>IBM</v>
          </cell>
        </row>
        <row r="68">
          <cell r="B68" t="str">
            <v>Xiaomi</v>
          </cell>
        </row>
        <row r="69">
          <cell r="B69" t="str">
            <v>Uber</v>
          </cell>
        </row>
        <row r="70">
          <cell r="B70" t="str">
            <v>Disney</v>
          </cell>
        </row>
        <row r="71">
          <cell r="B71" t="str">
            <v>Pinterest</v>
          </cell>
        </row>
        <row r="72">
          <cell r="B72" t="str">
            <v>Freshworks</v>
          </cell>
        </row>
        <row r="73">
          <cell r="B73" t="str">
            <v>eBay</v>
          </cell>
        </row>
        <row r="74">
          <cell r="B74" t="str">
            <v>Xerox</v>
          </cell>
        </row>
        <row r="75">
          <cell r="B75" t="str">
            <v>Alibaba</v>
          </cell>
        </row>
        <row r="77">
          <cell r="B77" t="str">
            <v>Taiwan Semiconductor</v>
          </cell>
        </row>
        <row r="78">
          <cell r="B78" t="str">
            <v>ASML</v>
          </cell>
        </row>
        <row r="79">
          <cell r="B79" t="str">
            <v>Broadcom</v>
          </cell>
        </row>
        <row r="80">
          <cell r="B80" t="str">
            <v>Qualcomm</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s>
    <sheetDataSet>
      <sheetData sheetId="0"/>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s>
    <sheetDataSet>
      <sheetData sheetId="0"/>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s>
    <sheetDataSet>
      <sheetData sheetId="0"/>
      <sheetData sheetId="1">
        <row r="25">
          <cell r="AD25">
            <v>7.0296589897898207E-2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O3">
            <v>18.383490024183327</v>
          </cell>
          <cell r="Z3">
            <v>-0.37453736139755095</v>
          </cell>
        </row>
        <row r="4">
          <cell r="B4" t="str">
            <v>Tesla</v>
          </cell>
        </row>
        <row r="5">
          <cell r="B5" t="str">
            <v>Toyota</v>
          </cell>
        </row>
        <row r="6">
          <cell r="B6" t="str">
            <v>Volkswagen</v>
          </cell>
        </row>
        <row r="7">
          <cell r="B7" t="str">
            <v>General Motors</v>
          </cell>
        </row>
        <row r="8">
          <cell r="B8" t="str">
            <v>Ford</v>
          </cell>
        </row>
        <row r="9">
          <cell r="B9" t="str">
            <v>Mercedes-Benz</v>
          </cell>
        </row>
        <row r="10">
          <cell r="B10" t="str">
            <v>BMW</v>
          </cell>
        </row>
        <row r="11">
          <cell r="B11" t="str">
            <v>Honda</v>
          </cell>
        </row>
        <row r="12">
          <cell r="B12" t="str">
            <v>Porsche</v>
          </cell>
        </row>
        <row r="13">
          <cell r="B13" t="str">
            <v>Stellantis</v>
          </cell>
        </row>
        <row r="14">
          <cell r="B14" t="str">
            <v>Ferrari</v>
          </cell>
        </row>
        <row r="15">
          <cell r="B15" t="str">
            <v>Rivian</v>
          </cell>
        </row>
        <row r="16">
          <cell r="B16" t="str">
            <v>Lucid</v>
          </cell>
        </row>
        <row r="17">
          <cell r="B17" t="str">
            <v>Aston Martin</v>
          </cell>
        </row>
        <row r="18">
          <cell r="B18" t="str">
            <v>Hyundai</v>
          </cell>
        </row>
        <row r="19">
          <cell r="B19" t="str">
            <v>Kia</v>
          </cell>
        </row>
        <row r="20">
          <cell r="B20" t="str">
            <v>Renault</v>
          </cell>
        </row>
        <row r="21">
          <cell r="B21" t="str">
            <v>PACCAR</v>
          </cell>
        </row>
        <row r="22">
          <cell r="B22" t="str">
            <v>Geely</v>
          </cell>
        </row>
        <row r="23">
          <cell r="B23" t="str">
            <v>NIO</v>
          </cell>
        </row>
        <row r="24">
          <cell r="B24" t="str">
            <v>Subaru</v>
          </cell>
        </row>
        <row r="25">
          <cell r="B25" t="str">
            <v>Nissan</v>
          </cell>
        </row>
        <row r="26">
          <cell r="B26" t="str">
            <v>BYD</v>
          </cell>
        </row>
        <row r="27">
          <cell r="B27" t="str">
            <v>Daimler Trucks</v>
          </cell>
        </row>
        <row r="28">
          <cell r="B28" t="str">
            <v>Volvo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O3">
            <v>26.251166047313312</v>
          </cell>
          <cell r="AA3">
            <v>-0.22397093414271882</v>
          </cell>
        </row>
        <row r="4">
          <cell r="B4" t="str">
            <v>Walmart</v>
          </cell>
        </row>
        <row r="5">
          <cell r="B5" t="str">
            <v>LVMH</v>
          </cell>
        </row>
        <row r="6">
          <cell r="B6" t="str">
            <v>TKMaxx</v>
          </cell>
        </row>
        <row r="7">
          <cell r="B7" t="str">
            <v>Nike</v>
          </cell>
        </row>
        <row r="8">
          <cell r="B8" t="str">
            <v>Hermès</v>
          </cell>
        </row>
        <row r="9">
          <cell r="B9" t="str">
            <v>Inditex</v>
          </cell>
        </row>
        <row r="10">
          <cell r="B10" t="str">
            <v>Kering</v>
          </cell>
        </row>
        <row r="11">
          <cell r="B11" t="str">
            <v>Adidas</v>
          </cell>
        </row>
        <row r="12">
          <cell r="B12" t="str">
            <v>H&amp;M</v>
          </cell>
        </row>
        <row r="13">
          <cell r="B13" t="str">
            <v>Tesco</v>
          </cell>
        </row>
        <row r="14">
          <cell r="B14" t="str">
            <v>Farfetch</v>
          </cell>
        </row>
        <row r="15">
          <cell r="B15" t="str">
            <v>Next</v>
          </cell>
        </row>
        <row r="16">
          <cell r="B16" t="str">
            <v>Levi's</v>
          </cell>
        </row>
        <row r="17">
          <cell r="B17" t="str">
            <v>Phillips-Van Heusen</v>
          </cell>
        </row>
        <row r="18">
          <cell r="B18" t="str">
            <v>Ralph Lauren</v>
          </cell>
        </row>
        <row r="19">
          <cell r="B19" t="str">
            <v>Burberry</v>
          </cell>
        </row>
        <row r="20">
          <cell r="B20" t="str">
            <v>Vanity Fair</v>
          </cell>
        </row>
        <row r="21">
          <cell r="B21" t="str">
            <v>Marks &amp; Spencer</v>
          </cell>
        </row>
        <row r="22">
          <cell r="B22" t="str">
            <v>Capri</v>
          </cell>
        </row>
        <row r="23">
          <cell r="B23" t="str">
            <v>Sainsbury's</v>
          </cell>
        </row>
        <row r="24">
          <cell r="B24" t="str">
            <v>Deliveroo</v>
          </cell>
        </row>
        <row r="25">
          <cell r="B25" t="str">
            <v>Foot Locker</v>
          </cell>
        </row>
        <row r="26">
          <cell r="B26" t="str">
            <v>Frasers</v>
          </cell>
        </row>
        <row r="27">
          <cell r="B27" t="str">
            <v>Hugo Boss</v>
          </cell>
        </row>
        <row r="28">
          <cell r="B28" t="str">
            <v>Guess</v>
          </cell>
        </row>
        <row r="29">
          <cell r="B29" t="str">
            <v>HelloFresh</v>
          </cell>
        </row>
        <row r="30">
          <cell r="B30" t="str">
            <v>Asos</v>
          </cell>
        </row>
        <row r="31">
          <cell r="B31" t="str">
            <v>Boohoo</v>
          </cell>
        </row>
        <row r="32">
          <cell r="B32" t="str">
            <v>Superdry</v>
          </cell>
        </row>
        <row r="33">
          <cell r="B33" t="str">
            <v>Joules</v>
          </cell>
        </row>
        <row r="34">
          <cell r="B34" t="str">
            <v>Mulberry</v>
          </cell>
        </row>
        <row r="35">
          <cell r="B35" t="str">
            <v>Gap</v>
          </cell>
        </row>
        <row r="36">
          <cell r="B36" t="str">
            <v>Puma</v>
          </cell>
        </row>
        <row r="37">
          <cell r="B37" t="str">
            <v>CostCo</v>
          </cell>
        </row>
        <row r="38">
          <cell r="B38" t="str">
            <v>A&amp;F</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R3">
            <v>25.311465398668286</v>
          </cell>
          <cell r="AD3">
            <v>-0.23973616282793675</v>
          </cell>
        </row>
        <row r="4">
          <cell r="B4" t="str">
            <v>Raytheon</v>
          </cell>
        </row>
        <row r="5">
          <cell r="B5" t="str">
            <v>Boeing</v>
          </cell>
        </row>
        <row r="6">
          <cell r="B6" t="str">
            <v>Honeywell</v>
          </cell>
        </row>
        <row r="7">
          <cell r="B7" t="str">
            <v>Lockheed Martin</v>
          </cell>
        </row>
        <row r="8">
          <cell r="B8" t="str">
            <v>Airbus</v>
          </cell>
        </row>
        <row r="9">
          <cell r="B9" t="str">
            <v>Safran</v>
          </cell>
        </row>
        <row r="10">
          <cell r="B10" t="str">
            <v>Northrop Grumman</v>
          </cell>
        </row>
        <row r="11">
          <cell r="B11" t="str">
            <v>General Dynamics</v>
          </cell>
        </row>
        <row r="12">
          <cell r="B12" t="str">
            <v>BAE</v>
          </cell>
        </row>
        <row r="13">
          <cell r="B13" t="str">
            <v>Rheinmetall</v>
          </cell>
        </row>
        <row r="14">
          <cell r="B14" t="str">
            <v>L3Harris</v>
          </cell>
        </row>
        <row r="15">
          <cell r="B15" t="str">
            <v>Rolls Royce</v>
          </cell>
        </row>
        <row r="16">
          <cell r="B16" t="str">
            <v>Thales</v>
          </cell>
        </row>
        <row r="17">
          <cell r="B17" t="str">
            <v>Dassault</v>
          </cell>
        </row>
        <row r="18">
          <cell r="B18" t="str">
            <v>Leonardo</v>
          </cell>
        </row>
        <row r="19">
          <cell r="B19" t="str">
            <v>Norinco</v>
          </cell>
        </row>
        <row r="20">
          <cell r="B20" t="str">
            <v>Red Cat</v>
          </cell>
        </row>
        <row r="21">
          <cell r="B21" t="str">
            <v>Unusual Machines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els"/>
    </sheetNames>
    <sheetDataSet>
      <sheetData sheetId="0">
        <row r="3">
          <cell r="Z3">
            <v>-0.5430347296183955</v>
          </cell>
        </row>
        <row r="4">
          <cell r="B4" t="str">
            <v>Rocket Lab</v>
          </cell>
        </row>
        <row r="5">
          <cell r="B5" t="str">
            <v>AST SpaceMobile</v>
          </cell>
        </row>
        <row r="6">
          <cell r="B6" t="str">
            <v>SpaceX</v>
          </cell>
        </row>
        <row r="7">
          <cell r="B7" t="str">
            <v>Intuitive Machines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Z3">
            <v>-0.53594872196534138</v>
          </cell>
        </row>
        <row r="4">
          <cell r="B4" t="str">
            <v>Constellation</v>
          </cell>
        </row>
        <row r="5">
          <cell r="B5" t="str">
            <v>Bloom</v>
          </cell>
        </row>
        <row r="6">
          <cell r="B6" t="str">
            <v>Oklo</v>
          </cell>
        </row>
        <row r="7">
          <cell r="B7" t="str">
            <v>FuelCell</v>
          </cell>
        </row>
        <row r="8">
          <cell r="B8" t="str">
            <v>NuScale</v>
          </cell>
        </row>
        <row r="9">
          <cell r="B9" t="str">
            <v>PlugPower</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row r="3">
          <cell r="D3">
            <v>21.94</v>
          </cell>
        </row>
      </sheetData>
      <sheetData sheetId="1">
        <row r="6">
          <cell r="BO6">
            <v>3823</v>
          </cell>
        </row>
        <row r="27">
          <cell r="BD27">
            <v>0.37728551336146321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odels%20(Retail)%20%7b2024%7d.xlsx" TargetMode="External"/><Relationship Id="rId7" Type="http://schemas.openxmlformats.org/officeDocument/2006/relationships/hyperlink" Target="Models%20Retired.xlsx" TargetMode="External"/><Relationship Id="rId2" Type="http://schemas.openxmlformats.org/officeDocument/2006/relationships/hyperlink" Target="Models%20(Automotive).xlsx" TargetMode="External"/><Relationship Id="rId1" Type="http://schemas.openxmlformats.org/officeDocument/2006/relationships/hyperlink" Target="Models%20(Tech).xlsx" TargetMode="External"/><Relationship Id="rId6" Type="http://schemas.openxmlformats.org/officeDocument/2006/relationships/hyperlink" Target="Models%20(Energy).xlsx" TargetMode="External"/><Relationship Id="rId5" Type="http://schemas.openxmlformats.org/officeDocument/2006/relationships/hyperlink" Target="Models%20(Space).xlsx" TargetMode="External"/><Relationship Id="rId4" Type="http://schemas.openxmlformats.org/officeDocument/2006/relationships/hyperlink" Target="Models%20(Defence).xls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STNE.xlsx" TargetMode="External"/><Relationship Id="rId18" Type="http://schemas.openxmlformats.org/officeDocument/2006/relationships/hyperlink" Target="FCEL.xlsx" TargetMode="External"/><Relationship Id="rId26" Type="http://schemas.openxmlformats.org/officeDocument/2006/relationships/hyperlink" Target="IONQ.xlsx" TargetMode="External"/><Relationship Id="rId39" Type="http://schemas.openxmlformats.org/officeDocument/2006/relationships/hyperlink" Target="IONQ.xlsx" TargetMode="External"/><Relationship Id="rId21" Type="http://schemas.openxmlformats.org/officeDocument/2006/relationships/hyperlink" Target="WISE.xlsx" TargetMode="External"/><Relationship Id="rId34" Type="http://schemas.openxmlformats.org/officeDocument/2006/relationships/hyperlink" Target="IONQ.xlsx" TargetMode="External"/><Relationship Id="rId42" Type="http://schemas.openxmlformats.org/officeDocument/2006/relationships/hyperlink" Target="IONQ.xlsx" TargetMode="External"/><Relationship Id="rId47" Type="http://schemas.openxmlformats.org/officeDocument/2006/relationships/hyperlink" Target="IONQ.xlsx" TargetMode="External"/><Relationship Id="rId50" Type="http://schemas.openxmlformats.org/officeDocument/2006/relationships/hyperlink" Target="IONQ.xlsx" TargetMode="External"/><Relationship Id="rId55" Type="http://schemas.openxmlformats.org/officeDocument/2006/relationships/hyperlink" Target="CHGG.xlsx" TargetMode="External"/><Relationship Id="rId7" Type="http://schemas.openxmlformats.org/officeDocument/2006/relationships/hyperlink" Target="BOSS.xlsx" TargetMode="External"/><Relationship Id="rId12" Type="http://schemas.openxmlformats.org/officeDocument/2006/relationships/hyperlink" Target="WISE.xlsx" TargetMode="External"/><Relationship Id="rId17" Type="http://schemas.openxmlformats.org/officeDocument/2006/relationships/hyperlink" Target="CHGG.xlsx" TargetMode="External"/><Relationship Id="rId25" Type="http://schemas.openxmlformats.org/officeDocument/2006/relationships/hyperlink" Target="IONQ.xlsx" TargetMode="External"/><Relationship Id="rId33" Type="http://schemas.openxmlformats.org/officeDocument/2006/relationships/hyperlink" Target="IONQ.xlsx" TargetMode="External"/><Relationship Id="rId38" Type="http://schemas.openxmlformats.org/officeDocument/2006/relationships/hyperlink" Target="IONQ.xlsx" TargetMode="External"/><Relationship Id="rId46" Type="http://schemas.openxmlformats.org/officeDocument/2006/relationships/hyperlink" Target="IONQ.xlsx" TargetMode="External"/><Relationship Id="rId59" Type="http://schemas.openxmlformats.org/officeDocument/2006/relationships/vmlDrawing" Target="../drawings/vmlDrawing1.vml"/><Relationship Id="rId2" Type="http://schemas.openxmlformats.org/officeDocument/2006/relationships/hyperlink" Target="GME.xlsx" TargetMode="External"/><Relationship Id="rId16" Type="http://schemas.openxmlformats.org/officeDocument/2006/relationships/hyperlink" Target="WISE.xlsx" TargetMode="External"/><Relationship Id="rId20" Type="http://schemas.openxmlformats.org/officeDocument/2006/relationships/hyperlink" Target="PLTR.xlsx" TargetMode="External"/><Relationship Id="rId29" Type="http://schemas.openxmlformats.org/officeDocument/2006/relationships/hyperlink" Target="IONQ.xlsx" TargetMode="External"/><Relationship Id="rId41" Type="http://schemas.openxmlformats.org/officeDocument/2006/relationships/hyperlink" Target="IONQ.xlsx" TargetMode="External"/><Relationship Id="rId54" Type="http://schemas.openxmlformats.org/officeDocument/2006/relationships/hyperlink" Target="IONQ.xlsx" TargetMode="External"/><Relationship Id="rId1" Type="http://schemas.openxmlformats.org/officeDocument/2006/relationships/hyperlink" Target="BOO.xlsx" TargetMode="External"/><Relationship Id="rId6" Type="http://schemas.openxmlformats.org/officeDocument/2006/relationships/hyperlink" Target="VOW.xlsx" TargetMode="External"/><Relationship Id="rId11" Type="http://schemas.openxmlformats.org/officeDocument/2006/relationships/hyperlink" Target="PYPL.xlsx" TargetMode="External"/><Relationship Id="rId24" Type="http://schemas.openxmlformats.org/officeDocument/2006/relationships/hyperlink" Target="IONQ.xlsx" TargetMode="External"/><Relationship Id="rId32" Type="http://schemas.openxmlformats.org/officeDocument/2006/relationships/hyperlink" Target="IONQ.xlsx" TargetMode="External"/><Relationship Id="rId37" Type="http://schemas.openxmlformats.org/officeDocument/2006/relationships/hyperlink" Target="IONQ.xlsx" TargetMode="External"/><Relationship Id="rId40" Type="http://schemas.openxmlformats.org/officeDocument/2006/relationships/hyperlink" Target="IONQ.xlsx" TargetMode="External"/><Relationship Id="rId45" Type="http://schemas.openxmlformats.org/officeDocument/2006/relationships/hyperlink" Target="IONQ.xlsx" TargetMode="External"/><Relationship Id="rId53" Type="http://schemas.openxmlformats.org/officeDocument/2006/relationships/hyperlink" Target="IONQ.xlsx" TargetMode="External"/><Relationship Id="rId58" Type="http://schemas.openxmlformats.org/officeDocument/2006/relationships/printerSettings" Target="../printerSettings/printerSettings1.bin"/><Relationship Id="rId5" Type="http://schemas.openxmlformats.org/officeDocument/2006/relationships/hyperlink" Target="BMW.xlsx" TargetMode="External"/><Relationship Id="rId15" Type="http://schemas.openxmlformats.org/officeDocument/2006/relationships/hyperlink" Target="FCEL.xlsx" TargetMode="External"/><Relationship Id="rId23" Type="http://schemas.openxmlformats.org/officeDocument/2006/relationships/hyperlink" Target="IONQ.xlsx" TargetMode="External"/><Relationship Id="rId28" Type="http://schemas.openxmlformats.org/officeDocument/2006/relationships/hyperlink" Target="IONQ.xlsx" TargetMode="External"/><Relationship Id="rId36" Type="http://schemas.openxmlformats.org/officeDocument/2006/relationships/hyperlink" Target="IONQ.xlsx" TargetMode="External"/><Relationship Id="rId49" Type="http://schemas.openxmlformats.org/officeDocument/2006/relationships/hyperlink" Target="IONQ.xlsx" TargetMode="External"/><Relationship Id="rId57" Type="http://schemas.openxmlformats.org/officeDocument/2006/relationships/hyperlink" Target="IONQ.xlsx" TargetMode="External"/><Relationship Id="rId10" Type="http://schemas.openxmlformats.org/officeDocument/2006/relationships/hyperlink" Target="STNE.xlsx" TargetMode="External"/><Relationship Id="rId19" Type="http://schemas.openxmlformats.org/officeDocument/2006/relationships/hyperlink" Target="NFLX.xlsx" TargetMode="External"/><Relationship Id="rId31" Type="http://schemas.openxmlformats.org/officeDocument/2006/relationships/hyperlink" Target="IONQ.xlsx" TargetMode="External"/><Relationship Id="rId44" Type="http://schemas.openxmlformats.org/officeDocument/2006/relationships/hyperlink" Target="IONQ.xlsx" TargetMode="External"/><Relationship Id="rId52" Type="http://schemas.openxmlformats.org/officeDocument/2006/relationships/hyperlink" Target="RIVN.xlsx" TargetMode="External"/><Relationship Id="rId60" Type="http://schemas.openxmlformats.org/officeDocument/2006/relationships/comments" Target="../comments1.xml"/><Relationship Id="rId4" Type="http://schemas.openxmlformats.org/officeDocument/2006/relationships/hyperlink" Target="FCCN.xlsx" TargetMode="External"/><Relationship Id="rId9" Type="http://schemas.openxmlformats.org/officeDocument/2006/relationships/hyperlink" Target="GFIN.xlsx" TargetMode="External"/><Relationship Id="rId14" Type="http://schemas.openxmlformats.org/officeDocument/2006/relationships/hyperlink" Target="WISE.xlsx" TargetMode="External"/><Relationship Id="rId22" Type="http://schemas.openxmlformats.org/officeDocument/2006/relationships/hyperlink" Target="MLGO.xlsx" TargetMode="External"/><Relationship Id="rId27" Type="http://schemas.openxmlformats.org/officeDocument/2006/relationships/hyperlink" Target="IONQ.xlsx" TargetMode="External"/><Relationship Id="rId30" Type="http://schemas.openxmlformats.org/officeDocument/2006/relationships/hyperlink" Target="IONQ.xlsx" TargetMode="External"/><Relationship Id="rId35" Type="http://schemas.openxmlformats.org/officeDocument/2006/relationships/hyperlink" Target="IONQ.xlsx" TargetMode="External"/><Relationship Id="rId43" Type="http://schemas.openxmlformats.org/officeDocument/2006/relationships/hyperlink" Target="IONQ.xlsx" TargetMode="External"/><Relationship Id="rId48" Type="http://schemas.openxmlformats.org/officeDocument/2006/relationships/hyperlink" Target="CRSR.xlsx" TargetMode="External"/><Relationship Id="rId56" Type="http://schemas.openxmlformats.org/officeDocument/2006/relationships/hyperlink" Target="IONQ.xlsx" TargetMode="External"/><Relationship Id="rId8" Type="http://schemas.openxmlformats.org/officeDocument/2006/relationships/hyperlink" Target="VOW.xlsx" TargetMode="External"/><Relationship Id="rId51" Type="http://schemas.openxmlformats.org/officeDocument/2006/relationships/hyperlink" Target="IONQ.xlsx" TargetMode="External"/><Relationship Id="rId3" Type="http://schemas.openxmlformats.org/officeDocument/2006/relationships/hyperlink" Target="ASO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BC02-9223-4C08-9E62-C64832103121}">
  <dimension ref="B2:K9"/>
  <sheetViews>
    <sheetView tabSelected="1" workbookViewId="0">
      <pane xSplit="2" ySplit="2" topLeftCell="C3" activePane="bottomRight" state="frozen"/>
      <selection pane="topRight" activeCell="C1" sqref="C1"/>
      <selection pane="bottomLeft" activeCell="A3" sqref="A3"/>
      <selection pane="bottomRight" activeCell="B3" sqref="B3"/>
    </sheetView>
  </sheetViews>
  <sheetFormatPr defaultRowHeight="14.4" x14ac:dyDescent="0.3"/>
  <cols>
    <col min="1" max="1" width="8.88671875" style="58"/>
    <col min="2" max="2" width="10.5546875" style="58" bestFit="1" customWidth="1"/>
    <col min="3" max="6" width="8.88671875" style="58" customWidth="1"/>
    <col min="7" max="8" width="14.77734375" style="59" customWidth="1"/>
    <col min="9" max="16384" width="8.88671875" style="58"/>
  </cols>
  <sheetData>
    <row r="2" spans="2:11" x14ac:dyDescent="0.3">
      <c r="B2" s="62" t="s">
        <v>1</v>
      </c>
      <c r="C2" s="62" t="s">
        <v>18</v>
      </c>
      <c r="D2" s="62" t="s">
        <v>19</v>
      </c>
      <c r="E2" s="62" t="s">
        <v>131</v>
      </c>
      <c r="F2" s="62" t="s">
        <v>132</v>
      </c>
      <c r="G2" s="59" t="s">
        <v>16</v>
      </c>
      <c r="H2" s="59" t="s">
        <v>17</v>
      </c>
    </row>
    <row r="3" spans="2:11" x14ac:dyDescent="0.3">
      <c r="B3" s="63" t="s">
        <v>0</v>
      </c>
      <c r="C3" s="64">
        <f>COUNTA([1]Models!$B$4:$B$1048576)</f>
        <v>76</v>
      </c>
      <c r="D3" s="65">
        <f>[1]Models!$Y$3</f>
        <v>-0.10677868464902869</v>
      </c>
      <c r="E3" s="67">
        <f>[1]Models!$M$3</f>
        <v>22.232510933845937</v>
      </c>
      <c r="F3" s="66"/>
      <c r="G3" s="61">
        <v>45771</v>
      </c>
      <c r="H3" s="61">
        <f ca="1">TODAY()</f>
        <v>45773</v>
      </c>
      <c r="K3" s="60" t="s">
        <v>7</v>
      </c>
    </row>
    <row r="4" spans="2:11" x14ac:dyDescent="0.3">
      <c r="B4" s="63" t="s">
        <v>2</v>
      </c>
      <c r="C4" s="64">
        <f>COUNTA([2]Main!$B$4:$B$1048576)</f>
        <v>25</v>
      </c>
      <c r="D4" s="65">
        <f>[2]Main!$Z$3</f>
        <v>-0.37453736139755095</v>
      </c>
      <c r="E4" s="67">
        <f>[2]Main!$O$3</f>
        <v>18.383490024183327</v>
      </c>
      <c r="F4" s="66"/>
    </row>
    <row r="5" spans="2:11" x14ac:dyDescent="0.3">
      <c r="B5" s="63" t="s">
        <v>3</v>
      </c>
      <c r="C5" s="64">
        <f>COUNTA([3]Main!$B$4:$B$1048576)</f>
        <v>35</v>
      </c>
      <c r="D5" s="65">
        <f>[3]Main!$AA$3</f>
        <v>-0.22397093414271882</v>
      </c>
      <c r="E5" s="67">
        <f>[3]Main!$O$3</f>
        <v>26.251166047313312</v>
      </c>
      <c r="F5" s="66"/>
    </row>
    <row r="6" spans="2:11" x14ac:dyDescent="0.3">
      <c r="B6" s="63" t="s">
        <v>4</v>
      </c>
      <c r="C6" s="64">
        <f>COUNTA([4]Main!$B$4:$B$1048576)</f>
        <v>18</v>
      </c>
      <c r="D6" s="65">
        <f>[4]Main!$AD$3</f>
        <v>-0.23973616282793675</v>
      </c>
      <c r="E6" s="67">
        <f>[4]Main!$R$3</f>
        <v>25.311465398668286</v>
      </c>
      <c r="F6" s="66"/>
    </row>
    <row r="7" spans="2:11" x14ac:dyDescent="0.3">
      <c r="B7" s="63" t="s">
        <v>5</v>
      </c>
      <c r="C7" s="64">
        <f>COUNTA([5]Models!$B$4:$B$1048576)</f>
        <v>4</v>
      </c>
      <c r="D7" s="65">
        <f>[5]Models!$Z$3</f>
        <v>-0.5430347296183955</v>
      </c>
      <c r="E7" s="67"/>
      <c r="F7" s="66"/>
    </row>
    <row r="8" spans="2:11" x14ac:dyDescent="0.3">
      <c r="B8" s="63" t="s">
        <v>6</v>
      </c>
      <c r="C8" s="64">
        <f>COUNTA([6]Main!$B$4:$B$1048576)</f>
        <v>6</v>
      </c>
      <c r="D8" s="65">
        <f>[6]Main!$Z$3</f>
        <v>-0.53594872196534138</v>
      </c>
      <c r="E8" s="67"/>
      <c r="F8" s="66"/>
    </row>
    <row r="9" spans="2:11" x14ac:dyDescent="0.3">
      <c r="C9" s="64">
        <f>SUM(C3:C8)</f>
        <v>164</v>
      </c>
      <c r="D9" s="65">
        <f>AVERAGE(D3:D8)</f>
        <v>-0.33733443243349531</v>
      </c>
      <c r="E9" s="67">
        <f>AVERAGE(E3:E8)</f>
        <v>23.044658101002714</v>
      </c>
      <c r="F9" s="66"/>
    </row>
  </sheetData>
  <hyperlinks>
    <hyperlink ref="B3" r:id="rId1" xr:uid="{14C9F10C-4241-4381-9A58-C45CBE1D0EC1}"/>
    <hyperlink ref="B4" r:id="rId2" xr:uid="{956A622F-4129-49E8-B3F9-286229411C4E}"/>
    <hyperlink ref="B5" r:id="rId3" xr:uid="{89548BBF-66AA-4EED-8862-90CB1E3EFBBF}"/>
    <hyperlink ref="B6" r:id="rId4" xr:uid="{DE0AC776-4712-4CE4-A502-2FEC545FA729}"/>
    <hyperlink ref="B7" r:id="rId5" xr:uid="{A17DCD71-EE89-4DC1-A07D-05642306D744}"/>
    <hyperlink ref="B8" r:id="rId6" xr:uid="{8B455401-3CF0-478F-90EE-4BCE8AFD4668}"/>
    <hyperlink ref="K3" r:id="rId7" xr:uid="{119BFD1D-40CB-4E53-88E7-0B54106196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D2D3-5236-4339-AF4C-11B73B17E08A}">
  <dimension ref="B3:B10"/>
  <sheetViews>
    <sheetView workbookViewId="0">
      <selection activeCell="B11" sqref="B11"/>
    </sheetView>
  </sheetViews>
  <sheetFormatPr defaultRowHeight="14.4" x14ac:dyDescent="0.3"/>
  <sheetData>
    <row r="3" spans="2:2" x14ac:dyDescent="0.3">
      <c r="B3" t="s">
        <v>15</v>
      </c>
    </row>
    <row r="4" spans="2:2" x14ac:dyDescent="0.3">
      <c r="B4" t="s">
        <v>14</v>
      </c>
    </row>
    <row r="5" spans="2:2" x14ac:dyDescent="0.3">
      <c r="B5" t="s">
        <v>13</v>
      </c>
    </row>
    <row r="6" spans="2:2" x14ac:dyDescent="0.3">
      <c r="B6" t="s">
        <v>12</v>
      </c>
    </row>
    <row r="7" spans="2:2" x14ac:dyDescent="0.3">
      <c r="B7" t="s">
        <v>11</v>
      </c>
    </row>
    <row r="8" spans="2:2" x14ac:dyDescent="0.3">
      <c r="B8" t="s">
        <v>10</v>
      </c>
    </row>
    <row r="9" spans="2:2" x14ac:dyDescent="0.3">
      <c r="B9" t="s">
        <v>9</v>
      </c>
    </row>
    <row r="10" spans="2:2" x14ac:dyDescent="0.3">
      <c r="B10"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7392-B224-42BE-9BD6-7DDBFF9E388F}">
  <dimension ref="B2:AP93"/>
  <sheetViews>
    <sheetView zoomScale="110" zoomScaleNormal="110" workbookViewId="0">
      <selection activeCell="Q22" sqref="Q22"/>
    </sheetView>
  </sheetViews>
  <sheetFormatPr defaultRowHeight="14.4" x14ac:dyDescent="0.3"/>
  <cols>
    <col min="2" max="2" width="34.5546875" bestFit="1" customWidth="1"/>
    <col min="3" max="3" width="9.88671875" bestFit="1" customWidth="1"/>
    <col min="4" max="4" width="10.5546875" bestFit="1" customWidth="1"/>
    <col min="6" max="20" width="10.77734375" customWidth="1"/>
  </cols>
  <sheetData>
    <row r="2" spans="2:20" x14ac:dyDescent="0.3">
      <c r="B2" s="3" t="s">
        <v>130</v>
      </c>
      <c r="D2" t="s">
        <v>17</v>
      </c>
      <c r="F2" s="20" t="s">
        <v>33</v>
      </c>
      <c r="G2" s="9" t="s">
        <v>32</v>
      </c>
      <c r="H2" s="8" t="s">
        <v>31</v>
      </c>
      <c r="I2" s="8" t="s">
        <v>30</v>
      </c>
      <c r="J2" s="8" t="s">
        <v>29</v>
      </c>
      <c r="K2" s="8" t="s">
        <v>26</v>
      </c>
      <c r="L2" s="8" t="s">
        <v>27</v>
      </c>
      <c r="M2" s="8" t="s">
        <v>25</v>
      </c>
      <c r="N2" s="8" t="s">
        <v>23</v>
      </c>
      <c r="O2" s="8" t="s">
        <v>129</v>
      </c>
      <c r="P2" s="8" t="s">
        <v>128</v>
      </c>
      <c r="Q2" s="8" t="s">
        <v>22</v>
      </c>
      <c r="R2" s="8" t="s">
        <v>21</v>
      </c>
      <c r="S2" s="8" t="s">
        <v>127</v>
      </c>
      <c r="T2" s="8" t="s">
        <v>20</v>
      </c>
    </row>
    <row r="3" spans="2:20" x14ac:dyDescent="0.3">
      <c r="D3" s="2">
        <f ca="1">TODAY()</f>
        <v>45773</v>
      </c>
      <c r="F3" s="33" t="s">
        <v>126</v>
      </c>
      <c r="G3" s="18" t="s">
        <v>100</v>
      </c>
      <c r="H3">
        <v>4</v>
      </c>
      <c r="I3" s="57">
        <v>44131</v>
      </c>
      <c r="J3" s="14">
        <v>32.031100000000002</v>
      </c>
      <c r="K3" s="14">
        <f>[7]Model!$BD$27</f>
        <v>0.37728551336146321</v>
      </c>
      <c r="L3" s="7"/>
      <c r="M3" s="32">
        <f>19.95+8.96+13+180.74+200.94-400.3+384.7</f>
        <v>407.99</v>
      </c>
      <c r="N3" s="32">
        <v>2880.9</v>
      </c>
      <c r="O3" s="7">
        <f t="shared" ref="O3:O10" si="0">M3/$M$13</f>
        <v>0.67998333333333338</v>
      </c>
      <c r="P3" s="7">
        <f t="shared" ref="P3:P10" si="1">N3/$N$13</f>
        <v>0.92157540162376916</v>
      </c>
      <c r="Q3" s="29">
        <f t="shared" ref="Q3:Q10" ca="1" si="2">$D$3-I3</f>
        <v>1642</v>
      </c>
      <c r="R3" s="7">
        <f t="shared" ref="R3:R10" si="3">N3/M3-1</f>
        <v>6.0612024804529527</v>
      </c>
      <c r="S3" s="51">
        <f t="shared" ref="S3:S10" ca="1" si="4">R3*(12-(($D$3-I3)/30.44))</f>
        <v>-254.22005357568639</v>
      </c>
      <c r="T3" s="56" t="s">
        <v>125</v>
      </c>
    </row>
    <row r="4" spans="2:20" x14ac:dyDescent="0.3">
      <c r="F4" s="33" t="s">
        <v>124</v>
      </c>
      <c r="G4" s="18" t="s">
        <v>100</v>
      </c>
      <c r="H4">
        <v>1</v>
      </c>
      <c r="I4" s="2">
        <v>44172</v>
      </c>
      <c r="J4" s="32">
        <v>48.368000000000002</v>
      </c>
      <c r="K4" s="52">
        <f>[8]Model!$AD$24</f>
        <v>0</v>
      </c>
      <c r="L4" s="7"/>
      <c r="M4" s="32">
        <f>13.2+35.17</f>
        <v>48.370000000000005</v>
      </c>
      <c r="N4" s="32">
        <v>55.45</v>
      </c>
      <c r="O4" s="7">
        <f t="shared" si="0"/>
        <v>8.061666666666667E-2</v>
      </c>
      <c r="P4" s="7">
        <f t="shared" si="1"/>
        <v>1.7737983276072754E-2</v>
      </c>
      <c r="Q4" s="29">
        <f t="shared" ca="1" si="2"/>
        <v>1601</v>
      </c>
      <c r="R4" s="7">
        <f t="shared" si="3"/>
        <v>0.14637171800702919</v>
      </c>
      <c r="S4" s="51">
        <f t="shared" ca="1" si="4"/>
        <v>-5.9419993224588072</v>
      </c>
      <c r="T4" t="s">
        <v>123</v>
      </c>
    </row>
    <row r="5" spans="2:20" x14ac:dyDescent="0.3">
      <c r="F5" s="33" t="s">
        <v>122</v>
      </c>
      <c r="G5" s="18" t="s">
        <v>100</v>
      </c>
      <c r="H5">
        <v>5</v>
      </c>
      <c r="I5" s="2">
        <v>44172</v>
      </c>
      <c r="J5" s="32">
        <v>3.0219999999999998</v>
      </c>
      <c r="K5" s="32">
        <f>[9]Model!$AB$26</f>
        <v>0</v>
      </c>
      <c r="L5" s="7"/>
      <c r="M5" s="32">
        <v>15.11</v>
      </c>
      <c r="N5" s="32">
        <v>16.100000000000001</v>
      </c>
      <c r="O5" s="7">
        <f t="shared" si="0"/>
        <v>2.5183333333333332E-2</v>
      </c>
      <c r="P5" s="7">
        <f t="shared" si="1"/>
        <v>5.150253034170809E-3</v>
      </c>
      <c r="Q5" s="29">
        <f t="shared" ca="1" si="2"/>
        <v>1601</v>
      </c>
      <c r="R5" s="7">
        <f t="shared" si="3"/>
        <v>6.5519523494374621E-2</v>
      </c>
      <c r="S5" s="51">
        <f t="shared" ca="1" si="4"/>
        <v>-2.6597827060600721</v>
      </c>
    </row>
    <row r="6" spans="2:20" x14ac:dyDescent="0.3">
      <c r="B6" s="55" t="s">
        <v>121</v>
      </c>
      <c r="C6" s="54"/>
      <c r="F6" s="33" t="s">
        <v>120</v>
      </c>
      <c r="G6" s="18" t="s">
        <v>100</v>
      </c>
      <c r="H6">
        <v>110</v>
      </c>
      <c r="I6" s="2">
        <v>44207</v>
      </c>
      <c r="J6" s="32">
        <v>0.106</v>
      </c>
      <c r="K6" s="32">
        <f>[10]Model!$AE$24</f>
        <v>0</v>
      </c>
      <c r="L6" s="7"/>
      <c r="M6" s="32">
        <v>11.72</v>
      </c>
      <c r="N6" s="32">
        <v>24.4</v>
      </c>
      <c r="O6" s="7">
        <f t="shared" si="0"/>
        <v>1.9533333333333333E-2</v>
      </c>
      <c r="P6" s="7">
        <f t="shared" si="1"/>
        <v>7.8053524244576225E-3</v>
      </c>
      <c r="Q6" s="29">
        <f t="shared" ca="1" si="2"/>
        <v>1566</v>
      </c>
      <c r="R6" s="7">
        <f t="shared" si="3"/>
        <v>1.0819112627986347</v>
      </c>
      <c r="S6" s="51">
        <f t="shared" ca="1" si="4"/>
        <v>-42.676494463455207</v>
      </c>
    </row>
    <row r="7" spans="2:20" x14ac:dyDescent="0.3">
      <c r="B7" s="18" t="s">
        <v>119</v>
      </c>
      <c r="C7" s="53" t="s">
        <v>105</v>
      </c>
      <c r="F7" s="33" t="s">
        <v>118</v>
      </c>
      <c r="G7" s="18" t="s">
        <v>100</v>
      </c>
      <c r="H7">
        <v>0.3</v>
      </c>
      <c r="I7" s="2">
        <v>44207</v>
      </c>
      <c r="J7" s="36">
        <v>70.066699999999997</v>
      </c>
      <c r="K7" s="36">
        <f>[11]Model!$AI$25</f>
        <v>0</v>
      </c>
      <c r="L7" s="7"/>
      <c r="M7" s="32">
        <v>18.989999999999998</v>
      </c>
      <c r="N7" s="52">
        <v>21.88</v>
      </c>
      <c r="O7" s="7">
        <f t="shared" si="0"/>
        <v>3.1649999999999998E-2</v>
      </c>
      <c r="P7" s="7">
        <f t="shared" si="1"/>
        <v>6.999225862587409E-3</v>
      </c>
      <c r="Q7" s="29">
        <f t="shared" ca="1" si="2"/>
        <v>1566</v>
      </c>
      <c r="R7" s="7">
        <f t="shared" si="3"/>
        <v>0.15218536071616651</v>
      </c>
      <c r="S7" s="51">
        <f t="shared" ca="1" si="4"/>
        <v>-6.0030225466200866</v>
      </c>
    </row>
    <row r="8" spans="2:20" x14ac:dyDescent="0.3">
      <c r="B8" s="18" t="s">
        <v>117</v>
      </c>
      <c r="C8" s="53" t="s">
        <v>108</v>
      </c>
      <c r="F8" s="33" t="s">
        <v>101</v>
      </c>
      <c r="G8" s="18" t="s">
        <v>100</v>
      </c>
      <c r="H8">
        <v>0.1</v>
      </c>
      <c r="I8" s="2">
        <v>44207</v>
      </c>
      <c r="J8" s="36">
        <v>167.5</v>
      </c>
      <c r="K8" s="36">
        <f>[12]Model!$AI$26</f>
        <v>0</v>
      </c>
      <c r="L8" s="7"/>
      <c r="M8" s="32">
        <v>15.13</v>
      </c>
      <c r="N8" s="52">
        <v>26.27</v>
      </c>
      <c r="O8" s="7">
        <f t="shared" si="0"/>
        <v>2.5216666666666668E-2</v>
      </c>
      <c r="P8" s="7">
        <f t="shared" si="1"/>
        <v>8.4035495160041697E-3</v>
      </c>
      <c r="Q8" s="29">
        <f t="shared" ca="1" si="2"/>
        <v>1566</v>
      </c>
      <c r="R8" s="7">
        <f t="shared" si="3"/>
        <v>0.73628552544613335</v>
      </c>
      <c r="S8" s="51">
        <f t="shared" ca="1" si="4"/>
        <v>-29.043126022131442</v>
      </c>
    </row>
    <row r="9" spans="2:20" x14ac:dyDescent="0.3">
      <c r="B9" s="18" t="s">
        <v>116</v>
      </c>
      <c r="C9" s="50" t="s">
        <v>110</v>
      </c>
      <c r="F9" s="33" t="s">
        <v>115</v>
      </c>
      <c r="G9" s="18" t="s">
        <v>100</v>
      </c>
      <c r="H9">
        <v>2</v>
      </c>
      <c r="I9" s="2">
        <v>44211</v>
      </c>
      <c r="J9" s="36">
        <v>26.18</v>
      </c>
      <c r="K9" s="36">
        <f>[13]Model!$AJ$23</f>
        <v>0</v>
      </c>
      <c r="L9" s="7"/>
      <c r="M9" s="32">
        <v>46.61</v>
      </c>
      <c r="N9" s="52">
        <v>61.32</v>
      </c>
      <c r="O9" s="7">
        <f t="shared" si="0"/>
        <v>7.7683333333333326E-2</v>
      </c>
      <c r="P9" s="7">
        <f t="shared" si="1"/>
        <v>1.9615746338841861E-2</v>
      </c>
      <c r="Q9" s="29">
        <f t="shared" ca="1" si="2"/>
        <v>1562</v>
      </c>
      <c r="R9" s="7">
        <f t="shared" si="3"/>
        <v>0.3155975112636773</v>
      </c>
      <c r="S9" s="51">
        <f t="shared" ca="1" si="4"/>
        <v>-12.407419634673715</v>
      </c>
    </row>
    <row r="10" spans="2:20" x14ac:dyDescent="0.3">
      <c r="B10" s="18" t="s">
        <v>114</v>
      </c>
      <c r="C10" s="50" t="s">
        <v>113</v>
      </c>
      <c r="F10" s="33" t="s">
        <v>112</v>
      </c>
      <c r="G10" s="18" t="s">
        <v>100</v>
      </c>
      <c r="H10">
        <v>550</v>
      </c>
      <c r="I10" s="2">
        <v>44266</v>
      </c>
      <c r="J10" s="32">
        <v>3.6999999999999998E-2</v>
      </c>
      <c r="K10" s="32">
        <f>[14]Model!$AD$25</f>
        <v>7.0296589897898207E-2</v>
      </c>
      <c r="L10" s="7"/>
      <c r="M10" s="32">
        <f>8.95+12.58</f>
        <v>21.53</v>
      </c>
      <c r="N10" s="52">
        <v>25.19</v>
      </c>
      <c r="O10" s="7">
        <f t="shared" si="0"/>
        <v>3.5883333333333337E-2</v>
      </c>
      <c r="P10" s="7">
        <f t="shared" si="1"/>
        <v>8.0580667037740798E-3</v>
      </c>
      <c r="Q10" s="29">
        <f t="shared" ca="1" si="2"/>
        <v>1507</v>
      </c>
      <c r="R10" s="7">
        <f t="shared" si="3"/>
        <v>0.16999535531816079</v>
      </c>
      <c r="S10" s="51">
        <f t="shared" ca="1" si="4"/>
        <v>-6.3760544373801089</v>
      </c>
    </row>
    <row r="11" spans="2:20" x14ac:dyDescent="0.3">
      <c r="B11" s="18" t="s">
        <v>111</v>
      </c>
      <c r="C11" s="50" t="s">
        <v>110</v>
      </c>
      <c r="G11" s="18"/>
      <c r="S11" s="3"/>
    </row>
    <row r="12" spans="2:20" x14ac:dyDescent="0.3">
      <c r="B12" s="18" t="s">
        <v>109</v>
      </c>
      <c r="C12" s="49" t="s">
        <v>108</v>
      </c>
      <c r="F12" s="4" t="s">
        <v>107</v>
      </c>
      <c r="G12" s="18"/>
      <c r="M12" s="32">
        <f>600-SUM($M$3:$M$11)</f>
        <v>14.549999999999955</v>
      </c>
      <c r="N12" s="32">
        <f>600-SUM($M$3:$M$11)</f>
        <v>14.549999999999955</v>
      </c>
      <c r="O12" s="7">
        <f>M12/$M$13</f>
        <v>2.4249999999999924E-2</v>
      </c>
      <c r="P12" s="7">
        <f>N12/$N$13</f>
        <v>4.654421220322052E-3</v>
      </c>
      <c r="Q12" s="7"/>
      <c r="S12" s="3"/>
    </row>
    <row r="13" spans="2:20" x14ac:dyDescent="0.3">
      <c r="B13" s="48" t="s">
        <v>106</v>
      </c>
      <c r="C13" s="47" t="s">
        <v>105</v>
      </c>
      <c r="F13" s="46" t="s">
        <v>65</v>
      </c>
      <c r="G13" s="27"/>
      <c r="H13" s="26"/>
      <c r="I13" s="45">
        <v>44131</v>
      </c>
      <c r="J13" s="26"/>
      <c r="K13" s="26"/>
      <c r="L13" s="26"/>
      <c r="M13" s="44">
        <f>SUM(M3:M12)</f>
        <v>600</v>
      </c>
      <c r="N13" s="44">
        <f>SUM(N3:N12)</f>
        <v>3126.0600000000004</v>
      </c>
      <c r="O13" s="22">
        <f>SUM(O3:O12)</f>
        <v>0.99999999999999989</v>
      </c>
      <c r="P13" s="22">
        <f>SUM(P3:P12)</f>
        <v>0.99999999999999989</v>
      </c>
      <c r="Q13" s="22"/>
      <c r="R13" s="43">
        <f>N13/M13-1</f>
        <v>4.2101000000000006</v>
      </c>
      <c r="S13" s="42">
        <f ca="1">R13*(12-(($D$3-I13)/30.44))</f>
        <v>-176.58077766097242</v>
      </c>
      <c r="T13" s="26"/>
    </row>
    <row r="15" spans="2:20" x14ac:dyDescent="0.3">
      <c r="K15" s="41"/>
      <c r="M15" s="32"/>
      <c r="N15" s="32"/>
    </row>
    <row r="17" spans="2:42" x14ac:dyDescent="0.3">
      <c r="B17" s="40" t="s">
        <v>104</v>
      </c>
    </row>
    <row r="18" spans="2:42" x14ac:dyDescent="0.3">
      <c r="B18" s="39" t="s">
        <v>103</v>
      </c>
      <c r="F18" s="1" t="s">
        <v>59</v>
      </c>
      <c r="G18" s="9" t="s">
        <v>32</v>
      </c>
      <c r="H18" s="8" t="s">
        <v>31</v>
      </c>
      <c r="I18" s="8" t="s">
        <v>30</v>
      </c>
      <c r="J18" s="8" t="s">
        <v>29</v>
      </c>
      <c r="K18" s="8" t="s">
        <v>26</v>
      </c>
      <c r="L18" s="8" t="s">
        <v>58</v>
      </c>
      <c r="M18" s="8" t="s">
        <v>27</v>
      </c>
      <c r="N18" s="8" t="s">
        <v>25</v>
      </c>
      <c r="O18" s="8" t="s">
        <v>24</v>
      </c>
      <c r="P18" s="8" t="s">
        <v>22</v>
      </c>
      <c r="Q18" s="8" t="s">
        <v>21</v>
      </c>
      <c r="R18" s="8" t="s">
        <v>57</v>
      </c>
      <c r="S18" s="8" t="s">
        <v>20</v>
      </c>
    </row>
    <row r="19" spans="2:42" x14ac:dyDescent="0.3">
      <c r="B19" s="38" t="s">
        <v>102</v>
      </c>
      <c r="F19" s="28" t="s">
        <v>101</v>
      </c>
      <c r="G19" s="27" t="s">
        <v>100</v>
      </c>
      <c r="H19" s="26">
        <v>0.1</v>
      </c>
      <c r="I19" s="25">
        <v>44207</v>
      </c>
      <c r="J19" s="37">
        <v>167.5</v>
      </c>
      <c r="K19" s="37">
        <v>234.77</v>
      </c>
      <c r="L19" s="36"/>
      <c r="M19" s="7">
        <f t="shared" ref="M19:M30" si="5">K19/J19-1</f>
        <v>0.40161194029850744</v>
      </c>
      <c r="N19" s="35">
        <v>15.13</v>
      </c>
      <c r="O19" s="35">
        <f>26.27-N19</f>
        <v>11.139999999999999</v>
      </c>
      <c r="P19" s="23" t="s">
        <v>99</v>
      </c>
      <c r="Q19" s="22">
        <f t="shared" ref="Q19:Q30" si="6">(O19+N19)/N19-1</f>
        <v>0.73628552544613335</v>
      </c>
      <c r="R19" s="7"/>
      <c r="S19" s="7" t="s">
        <v>98</v>
      </c>
      <c r="AO19" s="30" t="str">
        <f t="shared" ref="AO19:AO30" si="7">LEFT(P19,2)</f>
        <v>65</v>
      </c>
      <c r="AP19" s="30">
        <v>65</v>
      </c>
    </row>
    <row r="20" spans="2:42" x14ac:dyDescent="0.3">
      <c r="B20" s="34" t="s">
        <v>97</v>
      </c>
      <c r="F20" s="33" t="s">
        <v>70</v>
      </c>
      <c r="G20" s="18" t="s">
        <v>42</v>
      </c>
      <c r="H20" s="16">
        <v>28</v>
      </c>
      <c r="I20" s="2">
        <v>45467</v>
      </c>
      <c r="J20" s="13">
        <v>11.78</v>
      </c>
      <c r="K20" s="13">
        <v>22</v>
      </c>
      <c r="L20" s="13">
        <v>12.39</v>
      </c>
      <c r="M20" s="7">
        <f t="shared" si="5"/>
        <v>0.86757215619694406</v>
      </c>
      <c r="N20" s="12">
        <f t="shared" ref="N20:N30" si="8">(H20*J20)/5/($D$36)</f>
        <v>50.861989205859672</v>
      </c>
      <c r="O20" s="12">
        <f>63.27-N20</f>
        <v>12.408010794140331</v>
      </c>
      <c r="P20" s="16" t="s">
        <v>96</v>
      </c>
      <c r="Q20" s="7">
        <f t="shared" si="6"/>
        <v>0.24395449308755768</v>
      </c>
      <c r="R20" s="11">
        <f>O20</f>
        <v>12.408010794140331</v>
      </c>
      <c r="S20" s="17" t="s">
        <v>95</v>
      </c>
      <c r="T20" s="16"/>
      <c r="AO20" s="30" t="str">
        <f t="shared" si="7"/>
        <v>39</v>
      </c>
      <c r="AP20" s="30">
        <v>39</v>
      </c>
    </row>
    <row r="21" spans="2:42" x14ac:dyDescent="0.3">
      <c r="F21" s="33" t="s">
        <v>94</v>
      </c>
      <c r="G21" s="18" t="s">
        <v>42</v>
      </c>
      <c r="H21" s="16">
        <v>5.5</v>
      </c>
      <c r="I21" s="2">
        <v>45483</v>
      </c>
      <c r="J21" s="13">
        <v>58.69</v>
      </c>
      <c r="K21" s="13">
        <v>97</v>
      </c>
      <c r="L21" s="13">
        <v>61.48</v>
      </c>
      <c r="M21" s="7">
        <f t="shared" si="5"/>
        <v>0.65275174646447431</v>
      </c>
      <c r="N21" s="12">
        <f t="shared" si="8"/>
        <v>49.775636083269085</v>
      </c>
      <c r="O21" s="12">
        <v>11.92</v>
      </c>
      <c r="P21" s="16" t="s">
        <v>93</v>
      </c>
      <c r="Q21" s="7">
        <f t="shared" si="6"/>
        <v>0.23947458913551944</v>
      </c>
      <c r="R21" s="11">
        <f t="shared" ref="R21:R30" si="9">R20+O21</f>
        <v>24.328010794140333</v>
      </c>
      <c r="S21" s="17" t="s">
        <v>91</v>
      </c>
      <c r="AO21" s="30" t="str">
        <f t="shared" si="7"/>
        <v>24</v>
      </c>
      <c r="AP21" s="30">
        <v>24</v>
      </c>
    </row>
    <row r="22" spans="2:42" x14ac:dyDescent="0.3">
      <c r="B22" t="s">
        <v>92</v>
      </c>
      <c r="F22" s="33" t="s">
        <v>74</v>
      </c>
      <c r="G22" s="18" t="s">
        <v>42</v>
      </c>
      <c r="H22" s="16">
        <v>35</v>
      </c>
      <c r="I22" s="2">
        <v>45502</v>
      </c>
      <c r="J22" s="31">
        <v>7.3</v>
      </c>
      <c r="K22" s="31">
        <v>12</v>
      </c>
      <c r="L22" s="31">
        <v>6.68</v>
      </c>
      <c r="M22" s="7">
        <f t="shared" si="5"/>
        <v>0.6438356164383563</v>
      </c>
      <c r="N22" s="12">
        <f t="shared" si="8"/>
        <v>39.39861218195837</v>
      </c>
      <c r="O22" s="12">
        <v>-21.85</v>
      </c>
      <c r="P22" s="16" t="s">
        <v>34</v>
      </c>
      <c r="Q22" s="7">
        <f t="shared" si="6"/>
        <v>-0.5545880626223092</v>
      </c>
      <c r="R22" s="11">
        <f t="shared" si="9"/>
        <v>2.4780107941403315</v>
      </c>
      <c r="S22" s="17" t="s">
        <v>91</v>
      </c>
      <c r="AO22" s="30" t="str">
        <f t="shared" si="7"/>
        <v xml:space="preserve">5 </v>
      </c>
      <c r="AP22" s="30">
        <v>5</v>
      </c>
    </row>
    <row r="23" spans="2:42" x14ac:dyDescent="0.3">
      <c r="B23" t="s">
        <v>90</v>
      </c>
      <c r="F23" s="33" t="s">
        <v>74</v>
      </c>
      <c r="G23" s="18" t="s">
        <v>42</v>
      </c>
      <c r="H23">
        <v>15</v>
      </c>
      <c r="I23" s="2">
        <v>45560</v>
      </c>
      <c r="J23" s="32">
        <v>6.55</v>
      </c>
      <c r="K23" s="32">
        <v>9.89</v>
      </c>
      <c r="L23" s="32">
        <v>7.53</v>
      </c>
      <c r="M23" s="7">
        <f t="shared" si="5"/>
        <v>0.50992366412213763</v>
      </c>
      <c r="N23" s="12">
        <f t="shared" si="8"/>
        <v>15.150346954510407</v>
      </c>
      <c r="O23" s="11">
        <v>14.64</v>
      </c>
      <c r="P23" s="21" t="s">
        <v>89</v>
      </c>
      <c r="Q23" s="7">
        <f t="shared" si="6"/>
        <v>0.96631450381679396</v>
      </c>
      <c r="R23" s="11">
        <f t="shared" si="9"/>
        <v>17.118010794140332</v>
      </c>
      <c r="S23" t="s">
        <v>88</v>
      </c>
      <c r="AO23" s="30" t="str">
        <f t="shared" si="7"/>
        <v>29</v>
      </c>
      <c r="AP23" s="30">
        <v>29</v>
      </c>
    </row>
    <row r="24" spans="2:42" x14ac:dyDescent="0.3">
      <c r="B24" t="s">
        <v>87</v>
      </c>
      <c r="F24" s="33" t="s">
        <v>43</v>
      </c>
      <c r="G24" s="18" t="s">
        <v>42</v>
      </c>
      <c r="H24">
        <v>50</v>
      </c>
      <c r="I24" s="2">
        <v>45603</v>
      </c>
      <c r="J24" s="14">
        <v>1.74</v>
      </c>
      <c r="K24" s="14">
        <v>1.4</v>
      </c>
      <c r="L24" s="14">
        <v>1.43</v>
      </c>
      <c r="M24" s="7">
        <f t="shared" si="5"/>
        <v>-0.19540229885057481</v>
      </c>
      <c r="N24" s="12">
        <f t="shared" si="8"/>
        <v>13.415574402467232</v>
      </c>
      <c r="O24" s="11">
        <v>-12.23</v>
      </c>
      <c r="P24" s="12" t="s">
        <v>86</v>
      </c>
      <c r="Q24" s="7">
        <f t="shared" si="6"/>
        <v>-0.91162701149425285</v>
      </c>
      <c r="R24" s="11">
        <f t="shared" si="9"/>
        <v>4.8880107941403317</v>
      </c>
      <c r="S24" t="s">
        <v>85</v>
      </c>
      <c r="AO24" s="30" t="str">
        <f t="shared" si="7"/>
        <v xml:space="preserve">6 </v>
      </c>
      <c r="AP24" s="30">
        <v>6</v>
      </c>
    </row>
    <row r="25" spans="2:42" x14ac:dyDescent="0.3">
      <c r="F25" t="s">
        <v>84</v>
      </c>
      <c r="G25" s="18" t="s">
        <v>35</v>
      </c>
      <c r="H25">
        <v>4.0999999999999996</v>
      </c>
      <c r="I25" s="2">
        <v>45617</v>
      </c>
      <c r="J25" s="14">
        <v>31.59</v>
      </c>
      <c r="K25" s="13">
        <v>2</v>
      </c>
      <c r="L25" s="14">
        <v>3.93</v>
      </c>
      <c r="M25" s="7">
        <f t="shared" si="5"/>
        <v>-0.93668882557771449</v>
      </c>
      <c r="N25" s="12">
        <f t="shared" si="8"/>
        <v>19.972089437162683</v>
      </c>
      <c r="O25" s="11">
        <v>89.58</v>
      </c>
      <c r="P25" s="12" t="s">
        <v>83</v>
      </c>
      <c r="Q25" s="7">
        <f t="shared" si="6"/>
        <v>4.4852593055845089</v>
      </c>
      <c r="R25" s="11">
        <f t="shared" si="9"/>
        <v>94.468010794140326</v>
      </c>
      <c r="S25" t="s">
        <v>82</v>
      </c>
      <c r="AO25" s="30" t="str">
        <f t="shared" si="7"/>
        <v xml:space="preserve">4 </v>
      </c>
      <c r="AP25" s="30">
        <v>4</v>
      </c>
    </row>
    <row r="26" spans="2:42" x14ac:dyDescent="0.3">
      <c r="F26" s="15" t="s">
        <v>68</v>
      </c>
      <c r="G26" t="s">
        <v>42</v>
      </c>
      <c r="H26">
        <v>26</v>
      </c>
      <c r="I26" s="2">
        <v>45589</v>
      </c>
      <c r="J26" s="14">
        <v>8.8748000000000005</v>
      </c>
      <c r="K26" s="14">
        <v>11.17</v>
      </c>
      <c r="L26" s="14">
        <v>12.02</v>
      </c>
      <c r="M26" s="7">
        <f t="shared" si="5"/>
        <v>0.2586199125614097</v>
      </c>
      <c r="N26" s="12">
        <f t="shared" si="8"/>
        <v>35.581310717039322</v>
      </c>
      <c r="O26" s="11">
        <v>64.06</v>
      </c>
      <c r="P26" s="12" t="s">
        <v>81</v>
      </c>
      <c r="Q26" s="7">
        <f t="shared" si="6"/>
        <v>1.8003833672524796</v>
      </c>
      <c r="R26" s="11">
        <f t="shared" si="9"/>
        <v>158.52801079414033</v>
      </c>
      <c r="S26" t="s">
        <v>80</v>
      </c>
      <c r="AO26" s="30" t="str">
        <f t="shared" si="7"/>
        <v>36</v>
      </c>
      <c r="AP26" s="30">
        <v>36</v>
      </c>
    </row>
    <row r="27" spans="2:42" x14ac:dyDescent="0.3">
      <c r="F27" s="15" t="s">
        <v>79</v>
      </c>
      <c r="G27" t="s">
        <v>35</v>
      </c>
      <c r="H27">
        <v>0.2</v>
      </c>
      <c r="I27" s="2">
        <v>45630</v>
      </c>
      <c r="J27" s="14">
        <v>904.13</v>
      </c>
      <c r="K27" s="14">
        <v>432.55</v>
      </c>
      <c r="L27" s="14">
        <v>925.76</v>
      </c>
      <c r="M27" s="7">
        <f t="shared" si="5"/>
        <v>-0.52158428544567703</v>
      </c>
      <c r="N27" s="12">
        <f t="shared" si="8"/>
        <v>27.883731688511958</v>
      </c>
      <c r="O27" s="11">
        <v>-3.41</v>
      </c>
      <c r="P27" s="12" t="s">
        <v>52</v>
      </c>
      <c r="Q27" s="7">
        <f t="shared" si="6"/>
        <v>-0.12229353079756222</v>
      </c>
      <c r="R27" s="11">
        <f t="shared" si="9"/>
        <v>155.11801079414033</v>
      </c>
      <c r="S27" t="s">
        <v>77</v>
      </c>
      <c r="AO27" s="30" t="str">
        <f t="shared" si="7"/>
        <v xml:space="preserve">1 </v>
      </c>
      <c r="AP27" s="30">
        <v>1</v>
      </c>
    </row>
    <row r="28" spans="2:42" x14ac:dyDescent="0.3">
      <c r="F28" s="15" t="s">
        <v>78</v>
      </c>
      <c r="G28" t="s">
        <v>35</v>
      </c>
      <c r="H28">
        <v>2</v>
      </c>
      <c r="I28" s="2">
        <v>45630</v>
      </c>
      <c r="J28" s="14">
        <v>71.010000000000005</v>
      </c>
      <c r="K28" s="13">
        <v>12.4</v>
      </c>
      <c r="L28" s="14">
        <v>72.91</v>
      </c>
      <c r="M28" s="7">
        <f t="shared" si="5"/>
        <v>-0.82537670750598502</v>
      </c>
      <c r="N28" s="12">
        <f t="shared" si="8"/>
        <v>21.899768696993064</v>
      </c>
      <c r="O28" s="11">
        <v>-2.99</v>
      </c>
      <c r="P28" s="12" t="s">
        <v>52</v>
      </c>
      <c r="Q28" s="7">
        <f t="shared" si="6"/>
        <v>-0.13653112237713005</v>
      </c>
      <c r="R28" s="11">
        <f t="shared" si="9"/>
        <v>152.12801079414032</v>
      </c>
      <c r="S28" t="s">
        <v>77</v>
      </c>
      <c r="AO28" s="30" t="str">
        <f t="shared" si="7"/>
        <v xml:space="preserve">1 </v>
      </c>
      <c r="AP28" s="30">
        <v>1</v>
      </c>
    </row>
    <row r="29" spans="2:42" x14ac:dyDescent="0.3">
      <c r="F29" s="33" t="s">
        <v>74</v>
      </c>
      <c r="G29" s="18" t="s">
        <v>42</v>
      </c>
      <c r="H29">
        <v>10</v>
      </c>
      <c r="I29" s="2">
        <v>45560</v>
      </c>
      <c r="J29" s="32">
        <v>6.55</v>
      </c>
      <c r="K29" s="32">
        <v>11.84</v>
      </c>
      <c r="L29" s="31">
        <v>9.85</v>
      </c>
      <c r="M29" s="7">
        <f t="shared" si="5"/>
        <v>0.80763358778625949</v>
      </c>
      <c r="N29" s="12">
        <f t="shared" si="8"/>
        <v>10.100231303006939</v>
      </c>
      <c r="O29" s="11">
        <v>32.950000000000003</v>
      </c>
      <c r="P29" s="12" t="s">
        <v>76</v>
      </c>
      <c r="Q29" s="7">
        <f t="shared" si="6"/>
        <v>3.2623015267175575</v>
      </c>
      <c r="R29" s="11">
        <f t="shared" si="9"/>
        <v>185.07801079414031</v>
      </c>
      <c r="S29" t="s">
        <v>75</v>
      </c>
      <c r="AO29" s="30" t="str">
        <f t="shared" si="7"/>
        <v>83</v>
      </c>
      <c r="AP29" s="30">
        <v>83</v>
      </c>
    </row>
    <row r="30" spans="2:42" x14ac:dyDescent="0.3">
      <c r="F30" s="33" t="s">
        <v>74</v>
      </c>
      <c r="G30" s="18" t="s">
        <v>42</v>
      </c>
      <c r="H30">
        <v>8</v>
      </c>
      <c r="I30" s="2">
        <v>45560</v>
      </c>
      <c r="J30" s="32">
        <v>6.55</v>
      </c>
      <c r="K30" s="32">
        <v>11.84</v>
      </c>
      <c r="L30" s="31">
        <v>10.119999999999999</v>
      </c>
      <c r="M30" s="7">
        <f t="shared" si="5"/>
        <v>0.80763358778625949</v>
      </c>
      <c r="N30" s="12">
        <f t="shared" si="8"/>
        <v>8.0801850424055512</v>
      </c>
      <c r="O30" s="11">
        <v>28.52</v>
      </c>
      <c r="P30" s="12" t="s">
        <v>73</v>
      </c>
      <c r="Q30" s="7">
        <f t="shared" si="6"/>
        <v>3.52962213740458</v>
      </c>
      <c r="R30" s="11">
        <f t="shared" si="9"/>
        <v>213.59801079414032</v>
      </c>
      <c r="S30" t="s">
        <v>72</v>
      </c>
      <c r="AO30" s="30" t="str">
        <f t="shared" si="7"/>
        <v>85</v>
      </c>
      <c r="AP30" s="30">
        <v>85</v>
      </c>
    </row>
    <row r="31" spans="2:42" x14ac:dyDescent="0.3">
      <c r="F31" s="4" t="s">
        <v>65</v>
      </c>
      <c r="P31" s="29">
        <f>TRIMMEAN(AP19:AP30,95%)</f>
        <v>26.5</v>
      </c>
      <c r="Q31" s="5">
        <f>(90+R30)/90-1</f>
        <v>2.3733112310460038</v>
      </c>
      <c r="R31" s="6">
        <f>90+R30</f>
        <v>303.59801079414035</v>
      </c>
    </row>
    <row r="32" spans="2:42" x14ac:dyDescent="0.3">
      <c r="F32" s="4"/>
      <c r="P32" s="29"/>
      <c r="Q32" s="5"/>
      <c r="R32" s="6"/>
    </row>
    <row r="33" spans="3:19" x14ac:dyDescent="0.3">
      <c r="F33" s="4"/>
      <c r="Q33" s="5"/>
      <c r="R33" s="6"/>
    </row>
    <row r="34" spans="3:19" x14ac:dyDescent="0.3">
      <c r="R34" s="11"/>
      <c r="S34" s="16"/>
    </row>
    <row r="35" spans="3:19" x14ac:dyDescent="0.3">
      <c r="F35" s="1" t="s">
        <v>33</v>
      </c>
      <c r="G35" s="9" t="s">
        <v>32</v>
      </c>
      <c r="H35" s="8" t="s">
        <v>31</v>
      </c>
      <c r="I35" s="8" t="s">
        <v>30</v>
      </c>
      <c r="J35" s="8" t="s">
        <v>29</v>
      </c>
      <c r="K35" s="8" t="s">
        <v>28</v>
      </c>
      <c r="L35" s="8" t="s">
        <v>27</v>
      </c>
      <c r="M35" s="8" t="s">
        <v>26</v>
      </c>
      <c r="N35" s="8" t="s">
        <v>25</v>
      </c>
      <c r="O35" s="8" t="s">
        <v>24</v>
      </c>
      <c r="P35" s="8" t="s">
        <v>23</v>
      </c>
      <c r="Q35" s="8" t="s">
        <v>22</v>
      </c>
      <c r="R35" s="8" t="s">
        <v>21</v>
      </c>
      <c r="S35" s="8" t="s">
        <v>20</v>
      </c>
    </row>
    <row r="36" spans="3:19" x14ac:dyDescent="0.3">
      <c r="C36" t="s">
        <v>71</v>
      </c>
      <c r="D36" s="14">
        <v>1.2969999999999999</v>
      </c>
      <c r="F36" s="28" t="s">
        <v>70</v>
      </c>
      <c r="G36" s="27" t="s">
        <v>42</v>
      </c>
      <c r="H36" s="26">
        <v>75</v>
      </c>
      <c r="I36" s="25">
        <v>45559</v>
      </c>
      <c r="J36" s="24">
        <v>10.066700000000001</v>
      </c>
      <c r="K36" s="24">
        <v>15.42</v>
      </c>
      <c r="L36" s="7">
        <f>K36/J36-1</f>
        <v>0.53178300734103523</v>
      </c>
      <c r="M36" s="14">
        <f>K36/1.1</f>
        <v>14.018181818181818</v>
      </c>
      <c r="N36" s="12">
        <f>(H36*J36)/5/($D$36)</f>
        <v>116.42289899768699</v>
      </c>
      <c r="O36" s="11">
        <v>-128.75</v>
      </c>
      <c r="P36" s="12">
        <f>N36+O36</f>
        <v>-12.327101002313015</v>
      </c>
      <c r="Q36" s="23">
        <f ca="1">TODAY()-I36</f>
        <v>214</v>
      </c>
      <c r="R36" s="22">
        <f>P36/N36-1</f>
        <v>-1.1058820997281464</v>
      </c>
      <c r="S36" s="7" t="s">
        <v>69</v>
      </c>
    </row>
    <row r="37" spans="3:19" x14ac:dyDescent="0.3">
      <c r="F37" s="15" t="s">
        <v>68</v>
      </c>
      <c r="G37" t="s">
        <v>42</v>
      </c>
      <c r="H37">
        <v>25</v>
      </c>
      <c r="I37" s="2">
        <v>45589</v>
      </c>
      <c r="J37" s="14">
        <v>8.8748000000000005</v>
      </c>
      <c r="K37" s="14">
        <v>11.17</v>
      </c>
      <c r="L37" s="7">
        <f>K37/J37-1</f>
        <v>0.2586199125614097</v>
      </c>
      <c r="M37" s="14">
        <f>K37/1.1</f>
        <v>10.154545454545454</v>
      </c>
      <c r="N37" s="12">
        <f>(H37*J37)/5/($D$36)</f>
        <v>34.212798766383969</v>
      </c>
      <c r="O37" s="11">
        <v>53.33</v>
      </c>
      <c r="P37" s="11">
        <f>N37+O37</f>
        <v>87.542798766383967</v>
      </c>
      <c r="Q37" s="21">
        <f ca="1">TODAY()-I37</f>
        <v>184</v>
      </c>
      <c r="R37" s="7">
        <f>P37/N37-1</f>
        <v>1.5587733808085811</v>
      </c>
      <c r="S37" t="s">
        <v>66</v>
      </c>
    </row>
    <row r="38" spans="3:19" x14ac:dyDescent="0.3">
      <c r="F38" s="15" t="s">
        <v>67</v>
      </c>
      <c r="G38" t="s">
        <v>42</v>
      </c>
      <c r="H38">
        <v>40</v>
      </c>
      <c r="I38" s="2">
        <v>45639</v>
      </c>
      <c r="J38" s="14">
        <v>3</v>
      </c>
      <c r="K38" s="14">
        <v>4.54</v>
      </c>
      <c r="L38" s="7">
        <f>K38/J38-1</f>
        <v>0.51333333333333342</v>
      </c>
      <c r="M38" s="14">
        <f>K38/1.1</f>
        <v>4.127272727272727</v>
      </c>
      <c r="N38" s="12">
        <f>(H38*J38)/5/($D$36)</f>
        <v>18.504240555127218</v>
      </c>
      <c r="O38" s="11">
        <v>-12.32</v>
      </c>
      <c r="P38" s="11">
        <f>N38+O38</f>
        <v>6.1842405551272179</v>
      </c>
      <c r="Q38" s="21">
        <f ca="1">TODAY()-I38</f>
        <v>134</v>
      </c>
      <c r="R38" s="7">
        <f>P38/N38-1</f>
        <v>-0.66579333333333324</v>
      </c>
      <c r="S38" t="s">
        <v>66</v>
      </c>
    </row>
    <row r="39" spans="3:19" x14ac:dyDescent="0.3">
      <c r="F39" s="15" t="s">
        <v>36</v>
      </c>
      <c r="G39" t="s">
        <v>35</v>
      </c>
      <c r="H39">
        <v>3</v>
      </c>
      <c r="I39" s="2">
        <v>45665</v>
      </c>
      <c r="J39" s="14">
        <v>30.26</v>
      </c>
      <c r="K39" s="14">
        <v>7.2</v>
      </c>
      <c r="L39" s="7">
        <f>K39/J39-1</f>
        <v>-0.76206212822207542</v>
      </c>
      <c r="M39" s="14">
        <f>K39*2</f>
        <v>14.4</v>
      </c>
      <c r="N39" s="12">
        <f>(H39*J39)/5/($D$36)</f>
        <v>13.99845797995374</v>
      </c>
      <c r="O39" s="11">
        <v>12.89</v>
      </c>
      <c r="P39" s="11">
        <f>N39+O39</f>
        <v>26.888457979953742</v>
      </c>
      <c r="Q39" s="21">
        <f ca="1">TODAY()-I39</f>
        <v>108</v>
      </c>
      <c r="R39" s="7">
        <f>P39/N39-1</f>
        <v>0.9208157083057944</v>
      </c>
    </row>
    <row r="40" spans="3:19" x14ac:dyDescent="0.3">
      <c r="F40" s="4" t="s">
        <v>65</v>
      </c>
      <c r="N40" s="6">
        <f>SUM(N36:N39)</f>
        <v>183.13839629915191</v>
      </c>
      <c r="O40" s="6">
        <f>SUM(O36:O39)</f>
        <v>-74.850000000000009</v>
      </c>
      <c r="P40" s="6">
        <f>SUM(P36:P39)</f>
        <v>108.28839629915191</v>
      </c>
      <c r="Q40" s="4"/>
      <c r="R40" s="5">
        <f>P40/N40-1</f>
        <v>-0.4087073028516337</v>
      </c>
    </row>
    <row r="42" spans="3:19" x14ac:dyDescent="0.3">
      <c r="J42">
        <f>((44*29.47)+(76*32.33)+(20*30.5))/140</f>
        <v>31.169714285714289</v>
      </c>
    </row>
    <row r="43" spans="3:19" x14ac:dyDescent="0.3">
      <c r="J43">
        <f>(290*33.2662)+(50*38.37)+(50*39.12)+(140*38.67)+(100*32.8365)</f>
        <v>22219.148000000001</v>
      </c>
      <c r="K43">
        <f>J43/630</f>
        <v>35.268488888888889</v>
      </c>
    </row>
    <row r="44" spans="3:19" x14ac:dyDescent="0.3">
      <c r="J44" s="11">
        <f>1000+115+659+499+180-23+450-20-30+200-500+300</f>
        <v>2830</v>
      </c>
    </row>
    <row r="45" spans="3:19" x14ac:dyDescent="0.3">
      <c r="J45" t="s">
        <v>64</v>
      </c>
      <c r="K45" t="s">
        <v>63</v>
      </c>
    </row>
    <row r="46" spans="3:19" x14ac:dyDescent="0.3">
      <c r="F46" t="s">
        <v>36</v>
      </c>
      <c r="I46" t="s">
        <v>62</v>
      </c>
      <c r="J46">
        <v>1300</v>
      </c>
      <c r="K46">
        <v>1500</v>
      </c>
    </row>
    <row r="47" spans="3:19" x14ac:dyDescent="0.3">
      <c r="I47" t="s">
        <v>61</v>
      </c>
      <c r="J47">
        <v>750</v>
      </c>
      <c r="K47">
        <v>1000</v>
      </c>
    </row>
    <row r="48" spans="3:19" x14ac:dyDescent="0.3">
      <c r="I48" t="s">
        <v>60</v>
      </c>
      <c r="J48">
        <v>2300</v>
      </c>
      <c r="K48">
        <f>2300+1450</f>
        <v>3750</v>
      </c>
    </row>
    <row r="49" spans="6:19" x14ac:dyDescent="0.3">
      <c r="J49" s="4">
        <f>SUM(J46:J48)</f>
        <v>4350</v>
      </c>
      <c r="K49" s="4">
        <f>SUM(K46:K48)</f>
        <v>6250</v>
      </c>
    </row>
    <row r="53" spans="6:19" x14ac:dyDescent="0.3">
      <c r="F53" s="20" t="s">
        <v>59</v>
      </c>
      <c r="G53" s="9" t="s">
        <v>32</v>
      </c>
      <c r="H53" s="8" t="s">
        <v>31</v>
      </c>
      <c r="I53" s="8" t="s">
        <v>30</v>
      </c>
      <c r="J53" s="8" t="s">
        <v>29</v>
      </c>
      <c r="K53" s="8" t="s">
        <v>26</v>
      </c>
      <c r="L53" s="8" t="s">
        <v>58</v>
      </c>
      <c r="M53" s="8" t="s">
        <v>27</v>
      </c>
      <c r="N53" s="8" t="s">
        <v>25</v>
      </c>
      <c r="O53" s="8" t="s">
        <v>24</v>
      </c>
      <c r="P53" s="8" t="s">
        <v>22</v>
      </c>
      <c r="Q53" s="8" t="s">
        <v>21</v>
      </c>
      <c r="R53" s="8" t="s">
        <v>57</v>
      </c>
      <c r="S53" s="8" t="s">
        <v>20</v>
      </c>
    </row>
    <row r="54" spans="6:19" x14ac:dyDescent="0.3">
      <c r="F54" s="15" t="s">
        <v>36</v>
      </c>
      <c r="G54" t="s">
        <v>35</v>
      </c>
      <c r="H54">
        <v>23</v>
      </c>
      <c r="I54" s="2">
        <v>45671</v>
      </c>
      <c r="J54" s="14">
        <v>29.08</v>
      </c>
      <c r="K54" s="14">
        <v>7.6</v>
      </c>
      <c r="L54" s="13">
        <v>28.19</v>
      </c>
      <c r="M54" s="7">
        <f t="shared" ref="M54:M87" si="10">K54/J54-1</f>
        <v>-0.73865199449793673</v>
      </c>
      <c r="N54" s="12">
        <f t="shared" ref="N54:N87" si="11">(H54*J54)/5/($D$36)</f>
        <v>103.13646877409404</v>
      </c>
      <c r="O54" s="12">
        <v>16.75</v>
      </c>
      <c r="P54" s="16" t="s">
        <v>55</v>
      </c>
      <c r="Q54" s="7">
        <f t="shared" ref="Q54:Q87" si="12">(O54+N54)/N54-1</f>
        <v>0.16240618085042757</v>
      </c>
      <c r="R54" s="11">
        <f>O54</f>
        <v>16.75</v>
      </c>
      <c r="S54" s="4"/>
    </row>
    <row r="55" spans="6:19" x14ac:dyDescent="0.3">
      <c r="F55" s="15" t="s">
        <v>36</v>
      </c>
      <c r="G55" t="s">
        <v>35</v>
      </c>
      <c r="H55">
        <v>26</v>
      </c>
      <c r="I55" s="2">
        <v>45671</v>
      </c>
      <c r="J55" s="14">
        <v>28.8</v>
      </c>
      <c r="K55" s="14">
        <v>7.6</v>
      </c>
      <c r="L55" s="13">
        <v>28.04</v>
      </c>
      <c r="M55" s="7">
        <f t="shared" si="10"/>
        <v>-0.73611111111111116</v>
      </c>
      <c r="N55" s="12">
        <f t="shared" si="11"/>
        <v>115.46646106399385</v>
      </c>
      <c r="O55" s="12">
        <v>16.14</v>
      </c>
      <c r="P55" s="16" t="s">
        <v>55</v>
      </c>
      <c r="Q55" s="7">
        <f t="shared" si="12"/>
        <v>0.13978084935897428</v>
      </c>
      <c r="R55" s="11">
        <f t="shared" ref="R55:R87" si="13">R54+O55</f>
        <v>32.89</v>
      </c>
      <c r="S55" s="4"/>
    </row>
    <row r="56" spans="6:19" x14ac:dyDescent="0.3">
      <c r="F56" s="15" t="s">
        <v>36</v>
      </c>
      <c r="G56" t="s">
        <v>35</v>
      </c>
      <c r="H56">
        <v>20</v>
      </c>
      <c r="I56" s="2">
        <v>45671</v>
      </c>
      <c r="J56" s="14">
        <v>30.5</v>
      </c>
      <c r="K56" s="14">
        <v>7.6</v>
      </c>
      <c r="L56" s="13">
        <v>27.08</v>
      </c>
      <c r="M56" s="7">
        <f t="shared" si="10"/>
        <v>-0.75081967213114753</v>
      </c>
      <c r="N56" s="12">
        <f t="shared" si="11"/>
        <v>94.063222821896687</v>
      </c>
      <c r="O56" s="12">
        <v>55.74</v>
      </c>
      <c r="P56" s="16" t="s">
        <v>55</v>
      </c>
      <c r="Q56" s="7">
        <f t="shared" si="12"/>
        <v>0.59258016393442636</v>
      </c>
      <c r="R56" s="11">
        <f t="shared" si="13"/>
        <v>88.63</v>
      </c>
      <c r="S56" s="4"/>
    </row>
    <row r="57" spans="6:19" x14ac:dyDescent="0.3">
      <c r="F57" s="15" t="s">
        <v>36</v>
      </c>
      <c r="G57" t="s">
        <v>35</v>
      </c>
      <c r="H57">
        <v>44</v>
      </c>
      <c r="I57" s="2">
        <v>45671</v>
      </c>
      <c r="J57" s="14">
        <v>29.47</v>
      </c>
      <c r="K57" s="14">
        <v>7.6</v>
      </c>
      <c r="L57" s="13">
        <v>27.08</v>
      </c>
      <c r="M57" s="7">
        <f t="shared" si="10"/>
        <v>-0.74211062097047842</v>
      </c>
      <c r="N57" s="12">
        <f t="shared" si="11"/>
        <v>199.95065535851964</v>
      </c>
      <c r="O57" s="12">
        <v>85.7</v>
      </c>
      <c r="P57" s="16" t="s">
        <v>55</v>
      </c>
      <c r="Q57" s="7">
        <f t="shared" si="12"/>
        <v>0.42860574698460696</v>
      </c>
      <c r="R57" s="11">
        <f t="shared" si="13"/>
        <v>174.32999999999998</v>
      </c>
      <c r="S57" s="4"/>
    </row>
    <row r="58" spans="6:19" x14ac:dyDescent="0.3">
      <c r="F58" s="15" t="s">
        <v>36</v>
      </c>
      <c r="G58" t="s">
        <v>35</v>
      </c>
      <c r="H58">
        <v>76</v>
      </c>
      <c r="I58" s="2">
        <v>45671</v>
      </c>
      <c r="J58" s="14">
        <v>32.33</v>
      </c>
      <c r="K58" s="14">
        <v>7.6</v>
      </c>
      <c r="L58" s="13">
        <v>27.05</v>
      </c>
      <c r="M58" s="7">
        <f t="shared" si="10"/>
        <v>-0.76492421899164864</v>
      </c>
      <c r="N58" s="12">
        <f t="shared" si="11"/>
        <v>378.88666152659988</v>
      </c>
      <c r="O58" s="12">
        <v>327.02999999999997</v>
      </c>
      <c r="P58" s="16" t="s">
        <v>55</v>
      </c>
      <c r="Q58" s="7">
        <f t="shared" si="12"/>
        <v>0.8631341063376039</v>
      </c>
      <c r="R58" s="11">
        <f t="shared" si="13"/>
        <v>501.35999999999996</v>
      </c>
      <c r="S58" s="4"/>
    </row>
    <row r="59" spans="6:19" x14ac:dyDescent="0.3">
      <c r="F59" s="19" t="s">
        <v>36</v>
      </c>
      <c r="G59" s="18" t="s">
        <v>35</v>
      </c>
      <c r="H59">
        <v>80</v>
      </c>
      <c r="I59" s="2">
        <v>45671</v>
      </c>
      <c r="J59" s="14">
        <v>27.79</v>
      </c>
      <c r="K59" s="14">
        <v>7.6</v>
      </c>
      <c r="L59" s="13">
        <v>35.22</v>
      </c>
      <c r="M59" s="7">
        <f t="shared" si="10"/>
        <v>-0.72652033105433611</v>
      </c>
      <c r="N59" s="12">
        <f t="shared" si="11"/>
        <v>342.82189668465691</v>
      </c>
      <c r="O59" s="12">
        <v>-419.31</v>
      </c>
      <c r="P59" s="16" t="s">
        <v>52</v>
      </c>
      <c r="Q59" s="7">
        <f t="shared" si="12"/>
        <v>-1.2231132376754228</v>
      </c>
      <c r="R59" s="11">
        <f t="shared" si="13"/>
        <v>82.049999999999955</v>
      </c>
      <c r="S59" s="17"/>
    </row>
    <row r="60" spans="6:19" x14ac:dyDescent="0.3">
      <c r="F60" s="15" t="s">
        <v>36</v>
      </c>
      <c r="G60" t="s">
        <v>35</v>
      </c>
      <c r="H60">
        <v>50</v>
      </c>
      <c r="I60" s="2">
        <v>45672</v>
      </c>
      <c r="J60" s="14">
        <v>37.96</v>
      </c>
      <c r="K60" s="14">
        <v>7.6</v>
      </c>
      <c r="L60" s="13">
        <v>38.39</v>
      </c>
      <c r="M60" s="7">
        <f t="shared" si="10"/>
        <v>-0.79978925184404637</v>
      </c>
      <c r="N60" s="12">
        <f t="shared" si="11"/>
        <v>292.67540478026217</v>
      </c>
      <c r="O60" s="12">
        <v>-17.690000000000001</v>
      </c>
      <c r="P60" s="16" t="s">
        <v>55</v>
      </c>
      <c r="Q60" s="7">
        <f t="shared" si="12"/>
        <v>-6.044238672286617E-2</v>
      </c>
      <c r="R60" s="11">
        <f t="shared" si="13"/>
        <v>64.359999999999957</v>
      </c>
    </row>
    <row r="61" spans="6:19" x14ac:dyDescent="0.3">
      <c r="F61" s="15" t="s">
        <v>36</v>
      </c>
      <c r="G61" t="s">
        <v>35</v>
      </c>
      <c r="H61">
        <v>60</v>
      </c>
      <c r="I61" s="2">
        <v>45672</v>
      </c>
      <c r="J61" s="14">
        <v>38.71</v>
      </c>
      <c r="K61" s="14">
        <v>7.6</v>
      </c>
      <c r="L61" s="13">
        <v>39.15</v>
      </c>
      <c r="M61" s="7">
        <f t="shared" si="10"/>
        <v>-0.80366830276414358</v>
      </c>
      <c r="N61" s="12">
        <f t="shared" si="11"/>
        <v>358.14957594448731</v>
      </c>
      <c r="O61" s="12">
        <v>-21.72</v>
      </c>
      <c r="P61" s="16" t="s">
        <v>55</v>
      </c>
      <c r="Q61" s="7">
        <f t="shared" si="12"/>
        <v>-6.0645052957892132E-2</v>
      </c>
      <c r="R61" s="11">
        <f t="shared" si="13"/>
        <v>42.639999999999958</v>
      </c>
    </row>
    <row r="62" spans="6:19" x14ac:dyDescent="0.3">
      <c r="F62" s="15" t="s">
        <v>36</v>
      </c>
      <c r="G62" t="s">
        <v>35</v>
      </c>
      <c r="H62">
        <v>50</v>
      </c>
      <c r="I62" s="2">
        <v>45673</v>
      </c>
      <c r="J62" s="14">
        <v>36.82</v>
      </c>
      <c r="K62" s="14">
        <v>7.6</v>
      </c>
      <c r="L62" s="13">
        <v>40.020000000000003</v>
      </c>
      <c r="M62" s="7">
        <f t="shared" si="10"/>
        <v>-0.79359043997827272</v>
      </c>
      <c r="N62" s="12">
        <f t="shared" si="11"/>
        <v>283.88589051657669</v>
      </c>
      <c r="O62" s="12">
        <v>-131.38999999999999</v>
      </c>
      <c r="P62" s="16" t="s">
        <v>55</v>
      </c>
      <c r="Q62" s="7">
        <f t="shared" si="12"/>
        <v>-0.46282680608365012</v>
      </c>
      <c r="R62" s="11">
        <f t="shared" si="13"/>
        <v>-88.750000000000028</v>
      </c>
    </row>
    <row r="63" spans="6:19" x14ac:dyDescent="0.3">
      <c r="F63" s="15" t="s">
        <v>36</v>
      </c>
      <c r="G63" t="s">
        <v>35</v>
      </c>
      <c r="H63">
        <v>33</v>
      </c>
      <c r="I63" s="2">
        <v>45673</v>
      </c>
      <c r="J63" s="14">
        <v>40.1</v>
      </c>
      <c r="K63" s="14">
        <v>7.6</v>
      </c>
      <c r="L63" s="13">
        <v>41</v>
      </c>
      <c r="M63" s="7">
        <f t="shared" si="10"/>
        <v>-0.81047381546134667</v>
      </c>
      <c r="N63" s="12">
        <f t="shared" si="11"/>
        <v>204.05551272166537</v>
      </c>
      <c r="O63" s="12">
        <v>-24.4</v>
      </c>
      <c r="P63" s="16" t="s">
        <v>52</v>
      </c>
      <c r="Q63" s="7">
        <f t="shared" si="12"/>
        <v>-0.11957530416383289</v>
      </c>
      <c r="R63" s="11">
        <f t="shared" si="13"/>
        <v>-113.15000000000003</v>
      </c>
    </row>
    <row r="64" spans="6:19" x14ac:dyDescent="0.3">
      <c r="F64" s="15" t="s">
        <v>36</v>
      </c>
      <c r="G64" t="s">
        <v>35</v>
      </c>
      <c r="H64">
        <v>30</v>
      </c>
      <c r="I64" s="2">
        <v>45673</v>
      </c>
      <c r="J64" s="14">
        <v>41</v>
      </c>
      <c r="K64" s="14">
        <v>7.6</v>
      </c>
      <c r="L64" s="13">
        <v>42.22</v>
      </c>
      <c r="M64" s="7">
        <f t="shared" si="10"/>
        <v>-0.81463414634146347</v>
      </c>
      <c r="N64" s="12">
        <f t="shared" si="11"/>
        <v>189.66846569005398</v>
      </c>
      <c r="O64" s="12">
        <v>-30.16</v>
      </c>
      <c r="P64" s="16" t="s">
        <v>52</v>
      </c>
      <c r="Q64" s="7">
        <f t="shared" si="12"/>
        <v>-0.15901430894308943</v>
      </c>
      <c r="R64" s="11">
        <f t="shared" si="13"/>
        <v>-143.31000000000003</v>
      </c>
    </row>
    <row r="65" spans="6:19" x14ac:dyDescent="0.3">
      <c r="F65" s="15" t="s">
        <v>36</v>
      </c>
      <c r="G65" t="s">
        <v>35</v>
      </c>
      <c r="H65">
        <v>48</v>
      </c>
      <c r="I65" s="2">
        <v>45679</v>
      </c>
      <c r="J65" s="14">
        <v>41.85</v>
      </c>
      <c r="K65" s="14">
        <v>7.6</v>
      </c>
      <c r="L65" s="13">
        <v>42.81</v>
      </c>
      <c r="M65" s="7">
        <f t="shared" si="10"/>
        <v>-0.81839904420549581</v>
      </c>
      <c r="N65" s="12">
        <f t="shared" si="11"/>
        <v>309.76098689282964</v>
      </c>
      <c r="O65" s="12">
        <v>-37.590000000000003</v>
      </c>
      <c r="P65" s="16" t="s">
        <v>52</v>
      </c>
      <c r="Q65" s="7">
        <f t="shared" si="12"/>
        <v>-0.12135162783751485</v>
      </c>
      <c r="R65" s="11">
        <f t="shared" si="13"/>
        <v>-180.90000000000003</v>
      </c>
    </row>
    <row r="66" spans="6:19" x14ac:dyDescent="0.3">
      <c r="F66" s="15" t="s">
        <v>36</v>
      </c>
      <c r="G66" t="s">
        <v>35</v>
      </c>
      <c r="H66">
        <v>50</v>
      </c>
      <c r="I66" s="2">
        <v>45684</v>
      </c>
      <c r="J66" s="14">
        <v>38.409999999999997</v>
      </c>
      <c r="K66" s="14">
        <v>7.6</v>
      </c>
      <c r="L66" s="13">
        <v>38.9</v>
      </c>
      <c r="M66" s="7">
        <f t="shared" si="10"/>
        <v>-0.80213486071335582</v>
      </c>
      <c r="N66" s="12">
        <f t="shared" si="11"/>
        <v>296.14494988434848</v>
      </c>
      <c r="O66" s="12">
        <v>-19.71</v>
      </c>
      <c r="P66" s="16" t="s">
        <v>55</v>
      </c>
      <c r="Q66" s="7">
        <f t="shared" si="12"/>
        <v>-6.655524602967966E-2</v>
      </c>
      <c r="R66" s="11">
        <f t="shared" si="13"/>
        <v>-200.61000000000004</v>
      </c>
    </row>
    <row r="67" spans="6:19" x14ac:dyDescent="0.3">
      <c r="F67" s="15" t="s">
        <v>36</v>
      </c>
      <c r="G67" t="s">
        <v>35</v>
      </c>
      <c r="H67">
        <v>40</v>
      </c>
      <c r="I67" s="2">
        <v>45679</v>
      </c>
      <c r="J67" s="14">
        <v>41.52</v>
      </c>
      <c r="K67" s="14">
        <v>7.6</v>
      </c>
      <c r="L67" s="13">
        <v>43.41</v>
      </c>
      <c r="M67" s="7">
        <f t="shared" si="10"/>
        <v>-0.81695568400770713</v>
      </c>
      <c r="N67" s="12">
        <f t="shared" si="11"/>
        <v>256.09868928296072</v>
      </c>
      <c r="O67" s="12">
        <v>60.7</v>
      </c>
      <c r="P67" s="16" t="s">
        <v>56</v>
      </c>
      <c r="Q67" s="7">
        <f t="shared" si="12"/>
        <v>0.23701800337186896</v>
      </c>
      <c r="R67" s="11">
        <f t="shared" si="13"/>
        <v>-139.91000000000003</v>
      </c>
    </row>
    <row r="68" spans="6:19" x14ac:dyDescent="0.3">
      <c r="F68" s="15" t="s">
        <v>36</v>
      </c>
      <c r="G68" t="s">
        <v>35</v>
      </c>
      <c r="H68">
        <v>60</v>
      </c>
      <c r="I68" s="2">
        <v>45680</v>
      </c>
      <c r="J68" s="14">
        <v>41.33</v>
      </c>
      <c r="K68" s="14">
        <v>7.6</v>
      </c>
      <c r="L68" s="13">
        <v>42.62</v>
      </c>
      <c r="M68" s="7">
        <f t="shared" si="10"/>
        <v>-0.81611420275828694</v>
      </c>
      <c r="N68" s="12">
        <f t="shared" si="11"/>
        <v>382.39013107170388</v>
      </c>
      <c r="O68" s="12">
        <v>-62.73</v>
      </c>
      <c r="P68" s="16" t="s">
        <v>53</v>
      </c>
      <c r="Q68" s="7">
        <f t="shared" si="12"/>
        <v>-0.16404712073554328</v>
      </c>
      <c r="R68" s="11">
        <f t="shared" si="13"/>
        <v>-202.64000000000001</v>
      </c>
    </row>
    <row r="69" spans="6:19" x14ac:dyDescent="0.3">
      <c r="F69" s="15" t="s">
        <v>36</v>
      </c>
      <c r="G69" t="s">
        <v>35</v>
      </c>
      <c r="H69">
        <v>50</v>
      </c>
      <c r="I69" s="2">
        <v>45691</v>
      </c>
      <c r="J69" s="14">
        <v>38.558</v>
      </c>
      <c r="K69" s="14">
        <v>7.6</v>
      </c>
      <c r="L69" s="13">
        <v>38.71</v>
      </c>
      <c r="M69" s="7">
        <f t="shared" si="10"/>
        <v>-0.80289434099279011</v>
      </c>
      <c r="N69" s="12">
        <f t="shared" si="11"/>
        <v>297.28604471858137</v>
      </c>
      <c r="O69" s="12">
        <v>-6.16</v>
      </c>
      <c r="P69" s="16" t="s">
        <v>55</v>
      </c>
      <c r="Q69" s="7">
        <f t="shared" si="12"/>
        <v>-2.0720784273043247E-2</v>
      </c>
      <c r="R69" s="11">
        <f t="shared" si="13"/>
        <v>-208.8</v>
      </c>
    </row>
    <row r="70" spans="6:19" x14ac:dyDescent="0.3">
      <c r="F70" s="15" t="s">
        <v>36</v>
      </c>
      <c r="G70" t="s">
        <v>35</v>
      </c>
      <c r="H70">
        <v>58</v>
      </c>
      <c r="I70" s="2">
        <v>45674</v>
      </c>
      <c r="J70" s="14">
        <v>41.21</v>
      </c>
      <c r="K70" s="14">
        <v>7.6</v>
      </c>
      <c r="L70" s="13">
        <v>41.88</v>
      </c>
      <c r="M70" s="7">
        <f t="shared" si="10"/>
        <v>-0.81557874302353794</v>
      </c>
      <c r="N70" s="12">
        <f t="shared" si="11"/>
        <v>368.57054741711642</v>
      </c>
      <c r="O70" s="12">
        <v>-31.38</v>
      </c>
      <c r="P70" s="16" t="s">
        <v>41</v>
      </c>
      <c r="Q70" s="7">
        <f t="shared" si="12"/>
        <v>-8.5139738429741652E-2</v>
      </c>
      <c r="R70" s="11">
        <f t="shared" si="13"/>
        <v>-240.18</v>
      </c>
    </row>
    <row r="71" spans="6:19" x14ac:dyDescent="0.3">
      <c r="F71" s="15" t="s">
        <v>36</v>
      </c>
      <c r="G71" t="s">
        <v>35</v>
      </c>
      <c r="H71">
        <v>15</v>
      </c>
      <c r="I71" s="2">
        <v>45672</v>
      </c>
      <c r="J71" s="14">
        <v>35.5</v>
      </c>
      <c r="K71" s="14">
        <v>7.6</v>
      </c>
      <c r="L71" s="13">
        <v>43.5</v>
      </c>
      <c r="M71" s="7">
        <f t="shared" si="10"/>
        <v>-0.78591549295774654</v>
      </c>
      <c r="N71" s="12">
        <f t="shared" si="11"/>
        <v>82.112567463377033</v>
      </c>
      <c r="O71" s="12">
        <v>-96.98</v>
      </c>
      <c r="P71" s="16" t="s">
        <v>54</v>
      </c>
      <c r="Q71" s="7">
        <f t="shared" si="12"/>
        <v>-1.1810615962441313</v>
      </c>
      <c r="R71" s="11">
        <f t="shared" si="13"/>
        <v>-337.16</v>
      </c>
    </row>
    <row r="72" spans="6:19" x14ac:dyDescent="0.3">
      <c r="F72" s="15" t="s">
        <v>36</v>
      </c>
      <c r="G72" t="s">
        <v>35</v>
      </c>
      <c r="H72">
        <v>20</v>
      </c>
      <c r="I72" s="2">
        <v>45684</v>
      </c>
      <c r="J72" s="14">
        <v>38.67</v>
      </c>
      <c r="K72" s="14">
        <v>7.6</v>
      </c>
      <c r="L72" s="13">
        <v>43.67</v>
      </c>
      <c r="M72" s="7">
        <f t="shared" si="10"/>
        <v>-0.80346521851564523</v>
      </c>
      <c r="N72" s="12">
        <f t="shared" si="11"/>
        <v>119.25983037779493</v>
      </c>
      <c r="O72" s="12">
        <v>-80.8</v>
      </c>
      <c r="P72" s="16" t="s">
        <v>53</v>
      </c>
      <c r="Q72" s="7">
        <f t="shared" si="12"/>
        <v>-0.67751228342384273</v>
      </c>
      <c r="R72" s="11">
        <f t="shared" si="13"/>
        <v>-417.96000000000004</v>
      </c>
    </row>
    <row r="73" spans="6:19" x14ac:dyDescent="0.3">
      <c r="F73" s="15" t="s">
        <v>36</v>
      </c>
      <c r="G73" t="s">
        <v>35</v>
      </c>
      <c r="H73">
        <v>20</v>
      </c>
      <c r="I73" s="2">
        <v>45684</v>
      </c>
      <c r="J73" s="14">
        <v>38.67</v>
      </c>
      <c r="K73" s="14">
        <v>7.6</v>
      </c>
      <c r="L73" s="13">
        <v>44</v>
      </c>
      <c r="M73" s="7">
        <f t="shared" si="10"/>
        <v>-0.80346521851564523</v>
      </c>
      <c r="N73" s="12">
        <f t="shared" si="11"/>
        <v>119.25983037779493</v>
      </c>
      <c r="O73" s="12">
        <v>-86.14</v>
      </c>
      <c r="P73" s="16" t="s">
        <v>53</v>
      </c>
      <c r="Q73" s="7">
        <f t="shared" si="12"/>
        <v>-0.72228846651150747</v>
      </c>
      <c r="R73" s="11">
        <f t="shared" si="13"/>
        <v>-504.1</v>
      </c>
    </row>
    <row r="74" spans="6:19" x14ac:dyDescent="0.3">
      <c r="F74" s="15" t="s">
        <v>36</v>
      </c>
      <c r="G74" t="s">
        <v>35</v>
      </c>
      <c r="H74">
        <v>20</v>
      </c>
      <c r="I74" s="2">
        <v>45684</v>
      </c>
      <c r="J74" s="14">
        <v>38.67</v>
      </c>
      <c r="K74" s="14">
        <v>7.6</v>
      </c>
      <c r="L74" s="13">
        <v>44.52</v>
      </c>
      <c r="M74" s="7">
        <f t="shared" si="10"/>
        <v>-0.80346521851564523</v>
      </c>
      <c r="N74" s="12">
        <f t="shared" si="11"/>
        <v>119.25983037779493</v>
      </c>
      <c r="O74" s="12">
        <v>-94.53</v>
      </c>
      <c r="P74" s="16" t="s">
        <v>53</v>
      </c>
      <c r="Q74" s="7">
        <f t="shared" si="12"/>
        <v>-0.79263906128781991</v>
      </c>
      <c r="R74" s="11">
        <f t="shared" si="13"/>
        <v>-598.63</v>
      </c>
    </row>
    <row r="75" spans="6:19" x14ac:dyDescent="0.3">
      <c r="F75" s="15" t="s">
        <v>36</v>
      </c>
      <c r="G75" t="s">
        <v>35</v>
      </c>
      <c r="H75">
        <v>50</v>
      </c>
      <c r="I75" s="2">
        <v>45700</v>
      </c>
      <c r="J75" s="14">
        <v>38.18</v>
      </c>
      <c r="K75" s="14">
        <v>7.6</v>
      </c>
      <c r="L75" s="13">
        <v>39.03</v>
      </c>
      <c r="M75" s="7">
        <f t="shared" si="10"/>
        <v>-0.80094290204295437</v>
      </c>
      <c r="N75" s="12">
        <f t="shared" si="11"/>
        <v>294.37162683114883</v>
      </c>
      <c r="O75" s="12">
        <v>-34.33</v>
      </c>
      <c r="P75" s="16" t="s">
        <v>52</v>
      </c>
      <c r="Q75" s="7">
        <f t="shared" si="12"/>
        <v>-0.11662129387113662</v>
      </c>
      <c r="R75" s="11">
        <f t="shared" si="13"/>
        <v>-632.96</v>
      </c>
    </row>
    <row r="76" spans="6:19" x14ac:dyDescent="0.3">
      <c r="F76" s="15" t="s">
        <v>36</v>
      </c>
      <c r="G76" t="s">
        <v>35</v>
      </c>
      <c r="H76">
        <v>20</v>
      </c>
      <c r="I76" s="2">
        <v>45706</v>
      </c>
      <c r="J76" s="14">
        <v>33.229999999999997</v>
      </c>
      <c r="K76" s="14">
        <v>7.6</v>
      </c>
      <c r="L76" s="13">
        <v>36.21</v>
      </c>
      <c r="M76" s="7">
        <f t="shared" si="10"/>
        <v>-0.77129100210653023</v>
      </c>
      <c r="N76" s="12">
        <f t="shared" si="11"/>
        <v>102.48265227447956</v>
      </c>
      <c r="O76" s="12">
        <v>-47.48</v>
      </c>
      <c r="P76" s="16" t="s">
        <v>48</v>
      </c>
      <c r="Q76" s="7">
        <f t="shared" si="12"/>
        <v>-0.46329792356304544</v>
      </c>
      <c r="R76" s="11">
        <f t="shared" si="13"/>
        <v>-680.44</v>
      </c>
    </row>
    <row r="77" spans="6:19" x14ac:dyDescent="0.3">
      <c r="F77" s="15" t="s">
        <v>36</v>
      </c>
      <c r="G77" t="s">
        <v>35</v>
      </c>
      <c r="H77">
        <v>20</v>
      </c>
      <c r="I77" s="2">
        <v>45706</v>
      </c>
      <c r="J77" s="14">
        <v>33.229999999999997</v>
      </c>
      <c r="K77" s="14">
        <v>7.6</v>
      </c>
      <c r="L77" s="13">
        <v>36.31</v>
      </c>
      <c r="M77" s="7">
        <f t="shared" si="10"/>
        <v>-0.77129100210653023</v>
      </c>
      <c r="N77" s="12">
        <f t="shared" si="11"/>
        <v>102.48265227447956</v>
      </c>
      <c r="O77" s="12">
        <v>-49.07</v>
      </c>
      <c r="P77" s="16" t="s">
        <v>48</v>
      </c>
      <c r="Q77" s="7">
        <f t="shared" si="12"/>
        <v>-0.47881274450797473</v>
      </c>
      <c r="R77" s="11">
        <f t="shared" si="13"/>
        <v>-729.5100000000001</v>
      </c>
    </row>
    <row r="78" spans="6:19" x14ac:dyDescent="0.3">
      <c r="F78" s="15" t="s">
        <v>51</v>
      </c>
      <c r="G78" t="s">
        <v>35</v>
      </c>
      <c r="H78">
        <v>120</v>
      </c>
      <c r="I78" s="2">
        <v>45712</v>
      </c>
      <c r="J78" s="14">
        <v>11.5</v>
      </c>
      <c r="K78" s="14">
        <v>12.06</v>
      </c>
      <c r="L78" s="13">
        <v>12.19</v>
      </c>
      <c r="M78" s="7">
        <f t="shared" si="10"/>
        <v>4.8695652173913029E-2</v>
      </c>
      <c r="N78" s="12">
        <f t="shared" si="11"/>
        <v>212.798766383963</v>
      </c>
      <c r="O78" s="12">
        <v>-49.07</v>
      </c>
      <c r="P78" s="16" t="s">
        <v>50</v>
      </c>
      <c r="Q78" s="7">
        <f t="shared" si="12"/>
        <v>-0.23059344202898546</v>
      </c>
      <c r="R78" s="11">
        <f t="shared" si="13"/>
        <v>-778.58000000000015</v>
      </c>
      <c r="S78" t="s">
        <v>49</v>
      </c>
    </row>
    <row r="79" spans="6:19" x14ac:dyDescent="0.3">
      <c r="F79" s="15" t="s">
        <v>36</v>
      </c>
      <c r="G79" t="s">
        <v>35</v>
      </c>
      <c r="H79">
        <v>290</v>
      </c>
      <c r="I79" s="2">
        <v>45706</v>
      </c>
      <c r="J79" s="14">
        <v>33.266199999999998</v>
      </c>
      <c r="K79" s="14">
        <v>7.12</v>
      </c>
      <c r="L79" s="13">
        <v>20.54</v>
      </c>
      <c r="M79" s="7">
        <f t="shared" si="10"/>
        <v>-0.78596894144807639</v>
      </c>
      <c r="N79" s="12">
        <f t="shared" si="11"/>
        <v>1487.6172706245179</v>
      </c>
      <c r="O79" s="12">
        <v>2851.44</v>
      </c>
      <c r="P79" s="16" t="s">
        <v>48</v>
      </c>
      <c r="Q79" s="7">
        <f t="shared" si="12"/>
        <v>1.9167833395769431</v>
      </c>
      <c r="R79" s="11">
        <f t="shared" si="13"/>
        <v>2072.8599999999997</v>
      </c>
    </row>
    <row r="80" spans="6:19" x14ac:dyDescent="0.3">
      <c r="F80" s="15" t="s">
        <v>36</v>
      </c>
      <c r="G80" t="s">
        <v>35</v>
      </c>
      <c r="H80">
        <v>100</v>
      </c>
      <c r="I80" s="2">
        <v>45671</v>
      </c>
      <c r="J80" s="14">
        <v>32.836500000000001</v>
      </c>
      <c r="K80" s="14">
        <v>7.12</v>
      </c>
      <c r="L80" s="13">
        <v>20.54</v>
      </c>
      <c r="M80" s="7">
        <f t="shared" si="10"/>
        <v>-0.78316812084113718</v>
      </c>
      <c r="N80" s="12">
        <f t="shared" si="11"/>
        <v>506.34541249036243</v>
      </c>
      <c r="O80" s="12">
        <v>950.08</v>
      </c>
      <c r="P80" s="16" t="s">
        <v>47</v>
      </c>
      <c r="Q80" s="7">
        <f t="shared" si="12"/>
        <v>1.8763476009927977</v>
      </c>
      <c r="R80" s="11">
        <f t="shared" si="13"/>
        <v>3022.9399999999996</v>
      </c>
    </row>
    <row r="81" spans="6:19" x14ac:dyDescent="0.3">
      <c r="F81" s="15" t="s">
        <v>36</v>
      </c>
      <c r="G81" t="s">
        <v>35</v>
      </c>
      <c r="H81">
        <v>50</v>
      </c>
      <c r="I81" s="2">
        <v>45700</v>
      </c>
      <c r="J81" s="14">
        <v>38.369999999999997</v>
      </c>
      <c r="K81" s="14">
        <v>7.12</v>
      </c>
      <c r="L81" s="13">
        <v>18.66</v>
      </c>
      <c r="M81" s="7">
        <f t="shared" si="10"/>
        <v>-0.81443836330466512</v>
      </c>
      <c r="N81" s="12">
        <f t="shared" si="11"/>
        <v>295.83654587509636</v>
      </c>
      <c r="O81" s="12">
        <v>758.37</v>
      </c>
      <c r="P81" s="16" t="s">
        <v>46</v>
      </c>
      <c r="Q81" s="7">
        <f t="shared" si="12"/>
        <v>2.5634763878029707</v>
      </c>
      <c r="R81" s="11">
        <f t="shared" si="13"/>
        <v>3781.3099999999995</v>
      </c>
    </row>
    <row r="82" spans="6:19" x14ac:dyDescent="0.3">
      <c r="F82" s="15" t="s">
        <v>45</v>
      </c>
      <c r="G82" t="s">
        <v>35</v>
      </c>
      <c r="H82">
        <v>120</v>
      </c>
      <c r="I82" s="2">
        <v>45713</v>
      </c>
      <c r="J82" s="14">
        <v>11.85</v>
      </c>
      <c r="K82" s="14">
        <v>-5.58</v>
      </c>
      <c r="L82" s="13">
        <v>11.1</v>
      </c>
      <c r="M82" s="7">
        <f t="shared" si="10"/>
        <v>-1.4708860759493672</v>
      </c>
      <c r="N82" s="12">
        <f t="shared" si="11"/>
        <v>219.2752505782575</v>
      </c>
      <c r="O82" s="12">
        <v>69.25</v>
      </c>
      <c r="P82" s="16" t="s">
        <v>44</v>
      </c>
      <c r="Q82" s="7">
        <f t="shared" si="12"/>
        <v>0.31581311533052037</v>
      </c>
      <c r="R82" s="11">
        <f t="shared" si="13"/>
        <v>3850.5599999999995</v>
      </c>
    </row>
    <row r="83" spans="6:19" x14ac:dyDescent="0.3">
      <c r="F83" s="15" t="s">
        <v>43</v>
      </c>
      <c r="G83" t="s">
        <v>42</v>
      </c>
      <c r="H83">
        <v>600</v>
      </c>
      <c r="I83" s="2">
        <v>45712</v>
      </c>
      <c r="J83" s="14">
        <v>1.6</v>
      </c>
      <c r="K83" s="14">
        <v>0.94</v>
      </c>
      <c r="L83" s="13">
        <v>0.80930000000000002</v>
      </c>
      <c r="M83" s="7">
        <f t="shared" si="10"/>
        <v>-0.41250000000000009</v>
      </c>
      <c r="N83" s="12">
        <f t="shared" si="11"/>
        <v>148.03392444101775</v>
      </c>
      <c r="O83" s="11">
        <v>-368.79</v>
      </c>
      <c r="P83" s="16" t="s">
        <v>41</v>
      </c>
      <c r="Q83" s="7">
        <f t="shared" si="12"/>
        <v>-2.4912532812499997</v>
      </c>
      <c r="R83" s="11">
        <f t="shared" si="13"/>
        <v>3481.7699999999995</v>
      </c>
      <c r="S83" s="7" t="s">
        <v>40</v>
      </c>
    </row>
    <row r="84" spans="6:19" x14ac:dyDescent="0.3">
      <c r="F84" s="15" t="s">
        <v>36</v>
      </c>
      <c r="G84" t="s">
        <v>35</v>
      </c>
      <c r="H84">
        <v>460</v>
      </c>
      <c r="I84" s="2">
        <v>45728</v>
      </c>
      <c r="J84" s="14">
        <v>20.97</v>
      </c>
      <c r="K84" s="14">
        <v>7.12</v>
      </c>
      <c r="L84" s="13">
        <v>26.44</v>
      </c>
      <c r="M84" s="7">
        <f t="shared" si="10"/>
        <v>-0.66046733428707682</v>
      </c>
      <c r="N84" s="12">
        <f t="shared" si="11"/>
        <v>1487.4633770239013</v>
      </c>
      <c r="O84" s="11">
        <v>-1909.94</v>
      </c>
      <c r="P84" s="12" t="s">
        <v>34</v>
      </c>
      <c r="Q84" s="7">
        <f t="shared" si="12"/>
        <v>-1.2840248906305074</v>
      </c>
      <c r="R84" s="11">
        <f t="shared" si="13"/>
        <v>1571.8299999999995</v>
      </c>
      <c r="S84" s="7" t="s">
        <v>39</v>
      </c>
    </row>
    <row r="85" spans="6:19" x14ac:dyDescent="0.3">
      <c r="F85" s="15" t="s">
        <v>36</v>
      </c>
      <c r="G85" t="s">
        <v>35</v>
      </c>
      <c r="H85">
        <v>140</v>
      </c>
      <c r="I85" s="2">
        <v>45684</v>
      </c>
      <c r="J85" s="14">
        <v>38.67</v>
      </c>
      <c r="K85" s="14">
        <v>7.12</v>
      </c>
      <c r="L85" s="13">
        <v>25</v>
      </c>
      <c r="M85" s="7">
        <f t="shared" si="10"/>
        <v>-0.8158779415567623</v>
      </c>
      <c r="N85" s="12">
        <f t="shared" si="11"/>
        <v>834.81881264456445</v>
      </c>
      <c r="O85" s="11">
        <v>1472.77</v>
      </c>
      <c r="P85" s="12" t="s">
        <v>38</v>
      </c>
      <c r="Q85" s="7">
        <f t="shared" si="12"/>
        <v>1.7641792179245628</v>
      </c>
      <c r="R85" s="11">
        <f t="shared" si="13"/>
        <v>3044.5999999999995</v>
      </c>
      <c r="S85" s="7"/>
    </row>
    <row r="86" spans="6:19" x14ac:dyDescent="0.3">
      <c r="F86" s="15" t="s">
        <v>36</v>
      </c>
      <c r="G86" t="s">
        <v>35</v>
      </c>
      <c r="H86">
        <v>50</v>
      </c>
      <c r="I86" s="2">
        <v>45699</v>
      </c>
      <c r="J86" s="14">
        <v>39.119999999999997</v>
      </c>
      <c r="K86" s="14">
        <v>7.12</v>
      </c>
      <c r="L86" s="13">
        <v>25.88</v>
      </c>
      <c r="M86" s="7">
        <f t="shared" si="10"/>
        <v>-0.81799591002044991</v>
      </c>
      <c r="N86" s="12">
        <f t="shared" si="11"/>
        <v>301.61912104857362</v>
      </c>
      <c r="O86" s="11">
        <v>509.27</v>
      </c>
      <c r="P86" s="12" t="s">
        <v>37</v>
      </c>
      <c r="Q86" s="7">
        <f t="shared" si="12"/>
        <v>1.6884539621676891</v>
      </c>
      <c r="R86" s="11">
        <f t="shared" si="13"/>
        <v>3553.8699999999994</v>
      </c>
      <c r="S86" s="7"/>
    </row>
    <row r="87" spans="6:19" x14ac:dyDescent="0.3">
      <c r="F87" s="15" t="s">
        <v>36</v>
      </c>
      <c r="G87" t="s">
        <v>35</v>
      </c>
      <c r="H87">
        <v>330</v>
      </c>
      <c r="I87" s="2">
        <v>45699</v>
      </c>
      <c r="J87" s="14">
        <v>22.84</v>
      </c>
      <c r="K87" s="14">
        <v>7.12</v>
      </c>
      <c r="L87" s="13">
        <v>25.88</v>
      </c>
      <c r="M87" s="7">
        <f t="shared" si="10"/>
        <v>-0.68826619964973723</v>
      </c>
      <c r="N87" s="12">
        <f t="shared" si="11"/>
        <v>1162.2513492675405</v>
      </c>
      <c r="O87" s="11">
        <v>-753.81</v>
      </c>
      <c r="P87" s="12" t="s">
        <v>34</v>
      </c>
      <c r="Q87" s="7">
        <f t="shared" si="12"/>
        <v>-0.64857743591784744</v>
      </c>
      <c r="R87" s="11">
        <f t="shared" si="13"/>
        <v>2800.0599999999995</v>
      </c>
      <c r="S87" s="11"/>
    </row>
    <row r="88" spans="6:19" x14ac:dyDescent="0.3">
      <c r="S88" s="11"/>
    </row>
    <row r="89" spans="6:19" x14ac:dyDescent="0.3">
      <c r="F89" s="10" t="s">
        <v>33</v>
      </c>
      <c r="G89" s="9" t="s">
        <v>32</v>
      </c>
      <c r="H89" s="8" t="s">
        <v>31</v>
      </c>
      <c r="I89" s="8" t="s">
        <v>30</v>
      </c>
      <c r="J89" s="8" t="s">
        <v>29</v>
      </c>
      <c r="K89" s="8" t="s">
        <v>28</v>
      </c>
      <c r="L89" s="8" t="s">
        <v>27</v>
      </c>
      <c r="M89" s="8" t="s">
        <v>26</v>
      </c>
      <c r="N89" s="8" t="s">
        <v>25</v>
      </c>
      <c r="O89" s="8" t="s">
        <v>24</v>
      </c>
      <c r="P89" s="8" t="s">
        <v>23</v>
      </c>
      <c r="Q89" s="8" t="s">
        <v>22</v>
      </c>
      <c r="R89" s="8" t="s">
        <v>21</v>
      </c>
      <c r="S89" s="8" t="s">
        <v>20</v>
      </c>
    </row>
    <row r="90" spans="6:19" x14ac:dyDescent="0.3">
      <c r="S90" s="7"/>
    </row>
    <row r="91" spans="6:19" x14ac:dyDescent="0.3">
      <c r="S91" s="7"/>
    </row>
    <row r="93" spans="6:19" x14ac:dyDescent="0.3">
      <c r="N93" s="6">
        <f>SUM(N85:N92)</f>
        <v>2298.6892829606786</v>
      </c>
      <c r="O93" s="6">
        <f>SUM(O85:O92)</f>
        <v>1228.23</v>
      </c>
      <c r="P93" s="6">
        <f>SUM(P85:P92)</f>
        <v>0</v>
      </c>
      <c r="Q93" s="4"/>
      <c r="R93" s="5">
        <f>P93/N93-1</f>
        <v>-1</v>
      </c>
    </row>
  </sheetData>
  <hyperlinks>
    <hyperlink ref="F5" r:id="rId1" xr:uid="{7713E3AC-57F0-41A0-AA10-B4F6AD52A576}"/>
    <hyperlink ref="F3" r:id="rId2" xr:uid="{D789FDFE-1884-4287-8065-274404F5AA7D}"/>
    <hyperlink ref="F4" r:id="rId3" xr:uid="{5A28E8F4-5BA3-4AD8-98E3-53FE23F681F1}"/>
    <hyperlink ref="F6" r:id="rId4" xr:uid="{853A880B-6E1F-4E93-8D2D-3349A109723B}"/>
    <hyperlink ref="F7" r:id="rId5" xr:uid="{76EAA67F-3541-43CE-9D44-2B067F95E870}"/>
    <hyperlink ref="F8" r:id="rId6" xr:uid="{0660238A-43AB-44DF-9C63-A418FF8148E0}"/>
    <hyperlink ref="F9" r:id="rId7" xr:uid="{825839D0-1191-4069-A6D3-23640BF17EB7}"/>
    <hyperlink ref="F19" r:id="rId8" xr:uid="{7C228D79-A4BF-4267-9AAE-8AF191BC330A}"/>
    <hyperlink ref="F10" r:id="rId9" xr:uid="{5CDC304D-E911-4813-B581-2510084CF0BB}"/>
    <hyperlink ref="F20" r:id="rId10" xr:uid="{408628F0-ADCD-43F7-AC5C-733E740F2445}"/>
    <hyperlink ref="F21" r:id="rId11" xr:uid="{FB334DDA-30C4-4B6C-AFC7-95480AA9C1CC}"/>
    <hyperlink ref="F22" r:id="rId12" display="PYPL" xr:uid="{6C6B9C35-10D0-4D83-B9BA-F209EEE6630A}"/>
    <hyperlink ref="F36" r:id="rId13" xr:uid="{689B6299-BC6B-425D-B638-C30BF48B3367}"/>
    <hyperlink ref="F30" r:id="rId14" xr:uid="{B7617EE1-63A4-4323-BAED-470A46E8AEAF}"/>
    <hyperlink ref="F37" r:id="rId15" xr:uid="{E730219C-CE40-4EB8-A823-FCA1040DCE2E}"/>
    <hyperlink ref="F23" r:id="rId16" xr:uid="{3A5BD005-4984-43E3-B9C0-CADCCC91EB9B}"/>
    <hyperlink ref="F24" r:id="rId17" xr:uid="{C8C9F6C2-98C2-4350-94F7-ED3C2B536053}"/>
    <hyperlink ref="F26" r:id="rId18" xr:uid="{E7A7D5B9-6502-4567-8D1F-49D0F10FB43F}"/>
    <hyperlink ref="F27" r:id="rId19" xr:uid="{2F66BF2C-6743-4B40-B627-85FEB64B933F}"/>
    <hyperlink ref="F28" r:id="rId20" xr:uid="{F7204B45-FCA2-459E-8531-243B48A84660}"/>
    <hyperlink ref="F29" r:id="rId21" xr:uid="{00D14CDB-3FB9-4CC8-91B5-5A8C74AB3BB7}"/>
    <hyperlink ref="F38" r:id="rId22" xr:uid="{607C3509-BF50-4F3B-B38C-6DD0A951ABF4}"/>
    <hyperlink ref="F39" r:id="rId23" xr:uid="{A29A3651-B5BE-4318-A5F7-ED55A6AFF551}"/>
    <hyperlink ref="F59" r:id="rId24" xr:uid="{B7F5C031-FE05-4F83-A6CB-20B57ACE2510}"/>
    <hyperlink ref="F60" r:id="rId25" xr:uid="{F99A0D72-7A95-4E1A-AB35-1F99EB986DB0}"/>
    <hyperlink ref="F61" r:id="rId26" xr:uid="{1EE0E4B4-4734-4330-B802-36D07FB13178}"/>
    <hyperlink ref="F62" r:id="rId27" xr:uid="{AB191F1F-E140-4CA0-8EFA-29B632DAAFD4}"/>
    <hyperlink ref="F63" r:id="rId28" xr:uid="{C12B587A-3CB9-4905-BB9A-341C3159534E}"/>
    <hyperlink ref="F54" r:id="rId29" xr:uid="{3E19390E-B153-4143-90DD-DBF054430634}"/>
    <hyperlink ref="F55" r:id="rId30" xr:uid="{82015302-37EB-467F-8EA1-F972747ACE74}"/>
    <hyperlink ref="F56" r:id="rId31" xr:uid="{E3B96094-4E1A-4535-A50B-609C7B3DD9C9}"/>
    <hyperlink ref="F57" r:id="rId32" xr:uid="{2243FB93-0BEB-47EF-A260-90E5EE6B18E2}"/>
    <hyperlink ref="F58" r:id="rId33" xr:uid="{C94111EA-89E9-4D59-99B3-9B569B1F2819}"/>
    <hyperlink ref="F64" r:id="rId34" xr:uid="{EF50ADB9-B27D-43B5-A6DD-12DEAB63F9D5}"/>
    <hyperlink ref="F65" r:id="rId35" xr:uid="{F4D13E0C-F452-4B63-9C23-12D9E5C7D9E6}"/>
    <hyperlink ref="F66" r:id="rId36" xr:uid="{E75BFC06-41BA-4C65-8E68-8F4F9D504A02}"/>
    <hyperlink ref="F67" r:id="rId37" xr:uid="{7CD4FAAA-9C89-4D72-BA28-86D41F39D15B}"/>
    <hyperlink ref="F68" r:id="rId38" xr:uid="{3647B3D2-7317-4687-9771-FBEA090890FC}"/>
    <hyperlink ref="F69" r:id="rId39" xr:uid="{768FD95C-2829-41E4-91F3-9C7A2382DDE6}"/>
    <hyperlink ref="F70" r:id="rId40" xr:uid="{7B06F3E2-94AB-4F41-BA7D-E122993B1899}"/>
    <hyperlink ref="F71" r:id="rId41" xr:uid="{2BA544E5-91EF-4649-993B-6607BC39272F}"/>
    <hyperlink ref="F72" r:id="rId42" xr:uid="{B152420D-CD5A-4045-AEB6-C7FC4B8C37FF}"/>
    <hyperlink ref="F73" r:id="rId43" xr:uid="{D6C62918-BAF1-4625-AD03-AB37E79D83E9}"/>
    <hyperlink ref="F74" r:id="rId44" xr:uid="{4895CC05-1773-4E09-90E0-A197278A39A5}"/>
    <hyperlink ref="F75" r:id="rId45" xr:uid="{5C551544-21CF-4F0A-915A-8779B28B4A66}"/>
    <hyperlink ref="F76" r:id="rId46" xr:uid="{6E571BBB-C66A-48BE-A2C9-B2D454A87CB4}"/>
    <hyperlink ref="F77" r:id="rId47" xr:uid="{02312F3F-A2FF-48CB-84A6-FA6552C87FC7}"/>
    <hyperlink ref="F78" r:id="rId48" xr:uid="{7399D370-30DA-4156-9B96-CABE24316381}"/>
    <hyperlink ref="F79" r:id="rId49" xr:uid="{0CF48F92-B1EF-4CF8-B684-E901AB7FABCA}"/>
    <hyperlink ref="F80" r:id="rId50" xr:uid="{EA096620-EE36-4AD2-B9D2-4759CF857C52}"/>
    <hyperlink ref="F81" r:id="rId51" xr:uid="{0B173281-64FC-4455-82B3-0BB7850578BF}"/>
    <hyperlink ref="F82" r:id="rId52" xr:uid="{4806C1BC-8144-4FC8-900A-E4A5C8081BFC}"/>
    <hyperlink ref="F85" r:id="rId53" xr:uid="{168A30DA-D5DF-470E-944A-8B55E1D1087B}"/>
    <hyperlink ref="F86" r:id="rId54" xr:uid="{D44F64B6-2ABD-4E6C-8A38-16FE8A226A56}"/>
    <hyperlink ref="F83" r:id="rId55" xr:uid="{BF1EF446-EA3C-4086-9A7B-EF043845E2FA}"/>
    <hyperlink ref="F84" r:id="rId56" xr:uid="{D5873366-19F7-4A64-A0A8-5961DB3FB147}"/>
    <hyperlink ref="F87" r:id="rId57" xr:uid="{B7F86EC1-22F0-47D1-9D2E-82A69513D4B8}"/>
  </hyperlinks>
  <pageMargins left="0.7" right="0.7" top="0.75" bottom="0.75" header="0.3" footer="0.3"/>
  <pageSetup paperSize="9" orientation="portrait" horizontalDpi="4294967293" verticalDpi="0" r:id="rId58"/>
  <legacyDrawing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Upgrades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Mniszek</dc:creator>
  <cp:lastModifiedBy>Anton Mniszek</cp:lastModifiedBy>
  <dcterms:created xsi:type="dcterms:W3CDTF">2025-04-23T12:06:38Z</dcterms:created>
  <dcterms:modified xsi:type="dcterms:W3CDTF">2025-04-26T09:20:42Z</dcterms:modified>
</cp:coreProperties>
</file>