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ocuments\Financial Analysis\"/>
    </mc:Choice>
  </mc:AlternateContent>
  <xr:revisionPtr revIDLastSave="0" documentId="13_ncr:1_{FDE11226-AC1A-4B5D-9A5B-586FE1430773}" xr6:coauthVersionLast="45" xr6:coauthVersionMax="45" xr10:uidLastSave="{00000000-0000-0000-0000-000000000000}"/>
  <bookViews>
    <workbookView xWindow="-108" yWindow="-108" windowWidth="23256" windowHeight="12576" activeTab="1" xr2:uid="{0F574E5A-2072-44A4-9588-9F3B274273C1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4" i="2" l="1"/>
  <c r="AB25" i="2"/>
  <c r="AC24" i="2"/>
  <c r="AD24" i="2"/>
  <c r="AE24" i="2"/>
  <c r="AF24" i="2"/>
  <c r="AG24" i="2"/>
  <c r="AH24" i="2"/>
  <c r="AI24" i="2"/>
  <c r="AJ24" i="2"/>
  <c r="AK24" i="2"/>
  <c r="AL24" i="2"/>
  <c r="AM24" i="2"/>
  <c r="AC25" i="2"/>
  <c r="AD25" i="2"/>
  <c r="AE25" i="2"/>
  <c r="AF25" i="2"/>
  <c r="AG25" i="2"/>
  <c r="AH25" i="2"/>
  <c r="AI25" i="2"/>
  <c r="AJ25" i="2"/>
  <c r="AK25" i="2"/>
  <c r="AL25" i="2"/>
  <c r="AM25" i="2"/>
  <c r="AJ13" i="2"/>
  <c r="AK13" i="2" s="1"/>
  <c r="AL13" i="2" s="1"/>
  <c r="AM13" i="2" s="1"/>
  <c r="AI13" i="2"/>
  <c r="AH22" i="2"/>
  <c r="AG22" i="2"/>
  <c r="AF22" i="2"/>
  <c r="AE22" i="2"/>
  <c r="AD22" i="2"/>
  <c r="AC22" i="2"/>
  <c r="AB22" i="2"/>
  <c r="AA22" i="2"/>
  <c r="Z22" i="2"/>
  <c r="AB13" i="2"/>
  <c r="AC13" i="2" s="1"/>
  <c r="AD13" i="2" s="1"/>
  <c r="AE13" i="2" s="1"/>
  <c r="AF13" i="2" s="1"/>
  <c r="AG13" i="2" s="1"/>
  <c r="AH13" i="2" s="1"/>
  <c r="AA13" i="2"/>
  <c r="AJ12" i="2"/>
  <c r="AK12" i="2" s="1"/>
  <c r="AL12" i="2" s="1"/>
  <c r="AM12" i="2" s="1"/>
  <c r="AI12" i="2"/>
  <c r="AB12" i="2"/>
  <c r="AC12" i="2" s="1"/>
  <c r="AD12" i="2" s="1"/>
  <c r="AE12" i="2" s="1"/>
  <c r="AF12" i="2" s="1"/>
  <c r="AG12" i="2" s="1"/>
  <c r="AH12" i="2" s="1"/>
  <c r="AA12" i="2"/>
  <c r="Z12" i="2"/>
  <c r="AE4" i="2"/>
  <c r="AF4" i="2" s="1"/>
  <c r="AG4" i="2" s="1"/>
  <c r="AH4" i="2" s="1"/>
  <c r="AD4" i="2"/>
  <c r="AC4" i="2"/>
  <c r="AB4" i="2"/>
  <c r="AM10" i="2" l="1"/>
  <c r="AL10" i="2"/>
  <c r="AK10" i="2"/>
  <c r="AJ10" i="2"/>
  <c r="AI10" i="2"/>
  <c r="AH10" i="2"/>
  <c r="AG10" i="2"/>
  <c r="AF10" i="2"/>
  <c r="AE10" i="2"/>
  <c r="AD10" i="2"/>
  <c r="AC10" i="2"/>
  <c r="AB10" i="2"/>
  <c r="AA10" i="2"/>
  <c r="AB9" i="2"/>
  <c r="AA9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10" i="2"/>
  <c r="Z9" i="2"/>
  <c r="Z8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X12" i="2"/>
  <c r="Y12" i="2"/>
  <c r="X13" i="2"/>
  <c r="Y13" i="2"/>
  <c r="X14" i="2"/>
  <c r="Y14" i="2"/>
  <c r="W12" i="2"/>
  <c r="W13" i="2"/>
  <c r="W14" i="2"/>
  <c r="AJ3" i="2"/>
  <c r="AK3" i="2" s="1"/>
  <c r="AL3" i="2" s="1"/>
  <c r="AM3" i="2" s="1"/>
  <c r="AI3" i="2"/>
  <c r="AE3" i="2"/>
  <c r="AF3" i="2" s="1"/>
  <c r="AG3" i="2" s="1"/>
  <c r="AH3" i="2" s="1"/>
  <c r="AD3" i="2"/>
  <c r="AB3" i="2"/>
  <c r="AC3" i="2" s="1"/>
  <c r="AA3" i="2"/>
  <c r="Z3" i="2"/>
  <c r="Y5" i="2"/>
  <c r="Y4" i="2"/>
  <c r="Y3" i="2"/>
  <c r="X5" i="2"/>
  <c r="X4" i="2"/>
  <c r="X3" i="2"/>
  <c r="W5" i="2"/>
  <c r="W4" i="2"/>
  <c r="W3" i="2"/>
  <c r="Q27" i="2" l="1"/>
  <c r="R27" i="2" s="1"/>
  <c r="P27" i="2"/>
  <c r="O27" i="2"/>
  <c r="AP46" i="2"/>
  <c r="AP43" i="2"/>
  <c r="Y22" i="2"/>
  <c r="R22" i="2"/>
  <c r="Q22" i="2"/>
  <c r="Q21" i="2" s="1"/>
  <c r="P22" i="2"/>
  <c r="O22" i="2"/>
  <c r="R23" i="2"/>
  <c r="Q23" i="2"/>
  <c r="Q37" i="2" s="1"/>
  <c r="P23" i="2"/>
  <c r="P37" i="2" s="1"/>
  <c r="O23" i="2"/>
  <c r="AA28" i="2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Z28" i="2"/>
  <c r="Z5" i="2"/>
  <c r="AA5" i="2" s="1"/>
  <c r="AB5" i="2" s="1"/>
  <c r="Z4" i="2"/>
  <c r="AA4" i="2" s="1"/>
  <c r="Y25" i="2"/>
  <c r="Y39" i="2" s="1"/>
  <c r="Y24" i="2"/>
  <c r="Y20" i="2"/>
  <c r="R25" i="2"/>
  <c r="Q25" i="2"/>
  <c r="P25" i="2"/>
  <c r="O25" i="2"/>
  <c r="R24" i="2"/>
  <c r="Q24" i="2"/>
  <c r="P24" i="2"/>
  <c r="O24" i="2"/>
  <c r="R20" i="2"/>
  <c r="Q20" i="2"/>
  <c r="P20" i="2"/>
  <c r="O20" i="2"/>
  <c r="Z18" i="2"/>
  <c r="Y18" i="2"/>
  <c r="Y17" i="2"/>
  <c r="Y16" i="2"/>
  <c r="R10" i="2"/>
  <c r="Q10" i="2"/>
  <c r="P10" i="2"/>
  <c r="R9" i="2"/>
  <c r="Q9" i="2"/>
  <c r="P9" i="2"/>
  <c r="R8" i="2"/>
  <c r="Q8" i="2"/>
  <c r="Y8" i="2" s="1"/>
  <c r="P8" i="2"/>
  <c r="O10" i="2"/>
  <c r="Y10" i="2" s="1"/>
  <c r="O9" i="2"/>
  <c r="O8" i="2"/>
  <c r="R4" i="2"/>
  <c r="R17" i="2" s="1"/>
  <c r="P4" i="2"/>
  <c r="P17" i="2" s="1"/>
  <c r="Q4" i="2"/>
  <c r="Q17" i="2" s="1"/>
  <c r="R5" i="2"/>
  <c r="Q5" i="2"/>
  <c r="P5" i="2"/>
  <c r="O5" i="2"/>
  <c r="O18" i="2" s="1"/>
  <c r="W8" i="2"/>
  <c r="W9" i="2"/>
  <c r="W10" i="2"/>
  <c r="U41" i="2"/>
  <c r="T41" i="2"/>
  <c r="O4" i="2"/>
  <c r="X8" i="2"/>
  <c r="X9" i="2"/>
  <c r="X10" i="2"/>
  <c r="R3" i="2"/>
  <c r="R16" i="2" s="1"/>
  <c r="P3" i="2"/>
  <c r="P16" i="2" s="1"/>
  <c r="O3" i="2"/>
  <c r="O16" i="2" s="1"/>
  <c r="Q3" i="2"/>
  <c r="Q16" i="2" s="1"/>
  <c r="N18" i="2"/>
  <c r="M18" i="2"/>
  <c r="L18" i="2"/>
  <c r="K18" i="2"/>
  <c r="N17" i="2"/>
  <c r="M17" i="2"/>
  <c r="L17" i="2"/>
  <c r="K17" i="2"/>
  <c r="N16" i="2"/>
  <c r="M16" i="2"/>
  <c r="L16" i="2"/>
  <c r="K16" i="2"/>
  <c r="N20" i="2"/>
  <c r="M20" i="2"/>
  <c r="Q41" i="2" s="1"/>
  <c r="I20" i="2"/>
  <c r="I39" i="2" s="1"/>
  <c r="L20" i="2"/>
  <c r="P41" i="2" s="1"/>
  <c r="H20" i="2"/>
  <c r="H37" i="2" s="1"/>
  <c r="G20" i="2"/>
  <c r="G37" i="2" s="1"/>
  <c r="J20" i="2"/>
  <c r="J37" i="2" s="1"/>
  <c r="K20" i="2"/>
  <c r="K39" i="2" s="1"/>
  <c r="N6" i="2"/>
  <c r="M6" i="2"/>
  <c r="L6" i="2"/>
  <c r="J6" i="2"/>
  <c r="I6" i="2"/>
  <c r="H6" i="2"/>
  <c r="G6" i="2"/>
  <c r="F6" i="2"/>
  <c r="E6" i="2"/>
  <c r="D6" i="2"/>
  <c r="C6" i="2"/>
  <c r="N14" i="2"/>
  <c r="M14" i="2"/>
  <c r="L14" i="2"/>
  <c r="J14" i="2"/>
  <c r="I14" i="2"/>
  <c r="H14" i="2"/>
  <c r="G14" i="2"/>
  <c r="N12" i="2"/>
  <c r="M12" i="2"/>
  <c r="L12" i="2"/>
  <c r="J12" i="2"/>
  <c r="I12" i="2"/>
  <c r="H12" i="2"/>
  <c r="G12" i="2"/>
  <c r="N13" i="2"/>
  <c r="M13" i="2"/>
  <c r="L13" i="2"/>
  <c r="J13" i="2"/>
  <c r="I13" i="2"/>
  <c r="H13" i="2"/>
  <c r="G13" i="2"/>
  <c r="K14" i="2"/>
  <c r="K12" i="2"/>
  <c r="K13" i="2"/>
  <c r="K6" i="2"/>
  <c r="R26" i="2"/>
  <c r="Y35" i="2"/>
  <c r="U39" i="2"/>
  <c r="T39" i="2"/>
  <c r="Y38" i="2"/>
  <c r="U38" i="2"/>
  <c r="T38" i="2"/>
  <c r="U37" i="2"/>
  <c r="T37" i="2"/>
  <c r="R39" i="2"/>
  <c r="Q39" i="2"/>
  <c r="P39" i="2"/>
  <c r="F39" i="2"/>
  <c r="E39" i="2"/>
  <c r="D39" i="2"/>
  <c r="R38" i="2"/>
  <c r="Q38" i="2"/>
  <c r="P38" i="2"/>
  <c r="O38" i="2"/>
  <c r="F38" i="2"/>
  <c r="E38" i="2"/>
  <c r="D38" i="2"/>
  <c r="R37" i="2"/>
  <c r="O37" i="2"/>
  <c r="F37" i="2"/>
  <c r="E37" i="2"/>
  <c r="D37" i="2"/>
  <c r="C39" i="2"/>
  <c r="C38" i="2"/>
  <c r="C37" i="2"/>
  <c r="R42" i="2"/>
  <c r="Q42" i="2"/>
  <c r="P42" i="2"/>
  <c r="F42" i="2"/>
  <c r="E42" i="2"/>
  <c r="D42" i="2"/>
  <c r="T76" i="2"/>
  <c r="T71" i="2"/>
  <c r="U76" i="2"/>
  <c r="U71" i="2"/>
  <c r="V46" i="2"/>
  <c r="T49" i="2"/>
  <c r="T48" i="2"/>
  <c r="T46" i="2" s="1"/>
  <c r="T63" i="2"/>
  <c r="T65" i="2" s="1"/>
  <c r="U49" i="2"/>
  <c r="U48" i="2"/>
  <c r="U63" i="2"/>
  <c r="U65" i="2" s="1"/>
  <c r="T22" i="2"/>
  <c r="T26" i="2" s="1"/>
  <c r="T29" i="2" s="1"/>
  <c r="T31" i="2" s="1"/>
  <c r="T33" i="2" s="1"/>
  <c r="U22" i="2"/>
  <c r="U26" i="2" s="1"/>
  <c r="U29" i="2" s="1"/>
  <c r="U31" i="2" s="1"/>
  <c r="U33" i="2" s="1"/>
  <c r="C27" i="2"/>
  <c r="V27" i="2" s="1"/>
  <c r="C22" i="2"/>
  <c r="C26" i="2" s="1"/>
  <c r="C36" i="2" s="1"/>
  <c r="D22" i="2"/>
  <c r="D26" i="2" s="1"/>
  <c r="D29" i="2" s="1"/>
  <c r="D31" i="2" s="1"/>
  <c r="D33" i="2" s="1"/>
  <c r="V71" i="2"/>
  <c r="V76" i="2"/>
  <c r="V63" i="2"/>
  <c r="V65" i="2" s="1"/>
  <c r="V54" i="2"/>
  <c r="V30" i="2"/>
  <c r="V28" i="2"/>
  <c r="V25" i="2"/>
  <c r="V24" i="2"/>
  <c r="V23" i="2"/>
  <c r="V21" i="2"/>
  <c r="V20" i="2"/>
  <c r="V41" i="2" s="1"/>
  <c r="W76" i="2"/>
  <c r="W71" i="2"/>
  <c r="W30" i="2"/>
  <c r="W28" i="2"/>
  <c r="W27" i="2"/>
  <c r="W25" i="2"/>
  <c r="W24" i="2"/>
  <c r="W23" i="2"/>
  <c r="W21" i="2"/>
  <c r="F22" i="2"/>
  <c r="F26" i="2" s="1"/>
  <c r="F29" i="2" s="1"/>
  <c r="F31" i="2" s="1"/>
  <c r="F33" i="2" s="1"/>
  <c r="E22" i="2"/>
  <c r="E26" i="2" s="1"/>
  <c r="E29" i="2" s="1"/>
  <c r="E31" i="2" s="1"/>
  <c r="E33" i="2" s="1"/>
  <c r="X30" i="2"/>
  <c r="X28" i="2"/>
  <c r="X27" i="2"/>
  <c r="X25" i="2"/>
  <c r="X24" i="2"/>
  <c r="X23" i="2"/>
  <c r="X21" i="2"/>
  <c r="X76" i="2"/>
  <c r="X71" i="2"/>
  <c r="J76" i="2"/>
  <c r="J71" i="2"/>
  <c r="M76" i="2"/>
  <c r="M71" i="2"/>
  <c r="N76" i="2"/>
  <c r="N69" i="2"/>
  <c r="N71" i="2"/>
  <c r="W63" i="2"/>
  <c r="W65" i="2" s="1"/>
  <c r="W48" i="2"/>
  <c r="W54" i="2" s="1"/>
  <c r="X64" i="2"/>
  <c r="X63" i="2"/>
  <c r="X48" i="2"/>
  <c r="X54" i="2" s="1"/>
  <c r="J48" i="2"/>
  <c r="J54" i="2" s="1"/>
  <c r="J63" i="2"/>
  <c r="J65" i="2" s="1"/>
  <c r="N64" i="2"/>
  <c r="N63" i="2"/>
  <c r="N48" i="2"/>
  <c r="N54" i="2" s="1"/>
  <c r="D9" i="1"/>
  <c r="D8" i="1"/>
  <c r="D7" i="1"/>
  <c r="D6" i="1"/>
  <c r="D5" i="1"/>
  <c r="Z17" i="2" l="1"/>
  <c r="AA17" i="2"/>
  <c r="AA18" i="2"/>
  <c r="Z6" i="2"/>
  <c r="Z20" i="2"/>
  <c r="Y27" i="2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P26" i="2"/>
  <c r="P36" i="2" s="1"/>
  <c r="Y23" i="2"/>
  <c r="Y37" i="2" s="1"/>
  <c r="AC5" i="2"/>
  <c r="AB18" i="2"/>
  <c r="Z16" i="2"/>
  <c r="O39" i="2"/>
  <c r="O35" i="2"/>
  <c r="Y9" i="2"/>
  <c r="M38" i="2"/>
  <c r="X17" i="2"/>
  <c r="X18" i="2"/>
  <c r="L22" i="2"/>
  <c r="L26" i="2" s="1"/>
  <c r="L29" i="2" s="1"/>
  <c r="L31" i="2" s="1"/>
  <c r="X16" i="2"/>
  <c r="L37" i="2"/>
  <c r="L38" i="2"/>
  <c r="X6" i="2"/>
  <c r="I37" i="2"/>
  <c r="M22" i="2"/>
  <c r="M26" i="2" s="1"/>
  <c r="M29" i="2" s="1"/>
  <c r="M31" i="2" s="1"/>
  <c r="M33" i="2" s="1"/>
  <c r="O17" i="2"/>
  <c r="I22" i="2"/>
  <c r="I26" i="2" s="1"/>
  <c r="I36" i="2" s="1"/>
  <c r="G41" i="2"/>
  <c r="G38" i="2"/>
  <c r="G22" i="2"/>
  <c r="G26" i="2" s="1"/>
  <c r="G29" i="2" s="1"/>
  <c r="G31" i="2" s="1"/>
  <c r="G68" i="2" s="1"/>
  <c r="I41" i="2"/>
  <c r="I38" i="2"/>
  <c r="N42" i="2"/>
  <c r="R18" i="2"/>
  <c r="Q18" i="2"/>
  <c r="O6" i="2"/>
  <c r="P18" i="2"/>
  <c r="W6" i="2"/>
  <c r="Q6" i="2"/>
  <c r="P6" i="2"/>
  <c r="K38" i="2"/>
  <c r="J22" i="2"/>
  <c r="J26" i="2" s="1"/>
  <c r="J29" i="2" s="1"/>
  <c r="J31" i="2" s="1"/>
  <c r="J33" i="2" s="1"/>
  <c r="U54" i="2"/>
  <c r="L42" i="2"/>
  <c r="V38" i="2"/>
  <c r="N65" i="2"/>
  <c r="W20" i="2"/>
  <c r="W41" i="2" s="1"/>
  <c r="C35" i="2"/>
  <c r="U35" i="2"/>
  <c r="X46" i="2"/>
  <c r="J41" i="2"/>
  <c r="U44" i="2"/>
  <c r="K22" i="2"/>
  <c r="K26" i="2" s="1"/>
  <c r="K29" i="2" s="1"/>
  <c r="K31" i="2" s="1"/>
  <c r="K33" i="2" s="1"/>
  <c r="K41" i="2"/>
  <c r="T44" i="2"/>
  <c r="V37" i="2"/>
  <c r="N41" i="2"/>
  <c r="K37" i="2"/>
  <c r="T54" i="2"/>
  <c r="O41" i="2"/>
  <c r="V39" i="2"/>
  <c r="N38" i="2"/>
  <c r="N22" i="2"/>
  <c r="N26" i="2" s="1"/>
  <c r="N29" i="2" s="1"/>
  <c r="N39" i="2"/>
  <c r="R41" i="2"/>
  <c r="N37" i="2"/>
  <c r="X20" i="2"/>
  <c r="X22" i="2" s="1"/>
  <c r="X35" i="2" s="1"/>
  <c r="O42" i="2"/>
  <c r="M41" i="2"/>
  <c r="M39" i="2"/>
  <c r="M37" i="2"/>
  <c r="J42" i="2"/>
  <c r="L39" i="2"/>
  <c r="M42" i="2"/>
  <c r="L35" i="2"/>
  <c r="I42" i="2"/>
  <c r="H22" i="2"/>
  <c r="H26" i="2" s="1"/>
  <c r="H29" i="2" s="1"/>
  <c r="H31" i="2" s="1"/>
  <c r="H33" i="2" s="1"/>
  <c r="H41" i="2"/>
  <c r="H39" i="2"/>
  <c r="H38" i="2"/>
  <c r="L41" i="2"/>
  <c r="H42" i="2"/>
  <c r="G39" i="2"/>
  <c r="G42" i="2"/>
  <c r="J39" i="2"/>
  <c r="J38" i="2"/>
  <c r="K42" i="2"/>
  <c r="U36" i="2"/>
  <c r="E44" i="2"/>
  <c r="F44" i="2"/>
  <c r="Q26" i="2"/>
  <c r="Q36" i="2" s="1"/>
  <c r="U68" i="2"/>
  <c r="U77" i="2" s="1"/>
  <c r="E35" i="2"/>
  <c r="D36" i="2"/>
  <c r="L36" i="2"/>
  <c r="Q35" i="2"/>
  <c r="D35" i="2"/>
  <c r="F35" i="2"/>
  <c r="E36" i="2"/>
  <c r="W46" i="2"/>
  <c r="T35" i="2"/>
  <c r="F36" i="2"/>
  <c r="T68" i="2"/>
  <c r="T77" i="2" s="1"/>
  <c r="T36" i="2"/>
  <c r="D44" i="2"/>
  <c r="L44" i="2"/>
  <c r="Y26" i="2"/>
  <c r="Y36" i="2" s="1"/>
  <c r="U46" i="2"/>
  <c r="R36" i="2"/>
  <c r="R29" i="2"/>
  <c r="P29" i="2"/>
  <c r="P35" i="2"/>
  <c r="R35" i="2"/>
  <c r="O21" i="2"/>
  <c r="P21" i="2"/>
  <c r="R21" i="2"/>
  <c r="C29" i="2"/>
  <c r="V22" i="2"/>
  <c r="X65" i="2"/>
  <c r="L68" i="2"/>
  <c r="L33" i="2"/>
  <c r="AD17" i="2" l="1"/>
  <c r="AC9" i="2"/>
  <c r="AA6" i="2"/>
  <c r="AA16" i="2"/>
  <c r="AC17" i="2"/>
  <c r="AB17" i="2"/>
  <c r="AA20" i="2"/>
  <c r="AA24" i="2" s="1"/>
  <c r="AA38" i="2" s="1"/>
  <c r="Z21" i="2"/>
  <c r="Z41" i="2"/>
  <c r="Z24" i="2"/>
  <c r="Z38" i="2" s="1"/>
  <c r="Z25" i="2"/>
  <c r="Z39" i="2" s="1"/>
  <c r="Z23" i="2"/>
  <c r="Z37" i="2" s="1"/>
  <c r="Y21" i="2"/>
  <c r="AD5" i="2"/>
  <c r="AC18" i="2"/>
  <c r="O26" i="2"/>
  <c r="O36" i="2" s="1"/>
  <c r="G35" i="2"/>
  <c r="M35" i="2"/>
  <c r="J35" i="2"/>
  <c r="J44" i="2"/>
  <c r="I35" i="2"/>
  <c r="Y6" i="2"/>
  <c r="J36" i="2"/>
  <c r="G33" i="2"/>
  <c r="G36" i="2"/>
  <c r="M68" i="2"/>
  <c r="M77" i="2" s="1"/>
  <c r="M44" i="2"/>
  <c r="M36" i="2"/>
  <c r="X38" i="2"/>
  <c r="G44" i="2"/>
  <c r="Q29" i="2"/>
  <c r="Q30" i="2" s="1"/>
  <c r="Q44" i="2" s="1"/>
  <c r="Y41" i="2"/>
  <c r="X41" i="2"/>
  <c r="I29" i="2"/>
  <c r="R6" i="2"/>
  <c r="K68" i="2"/>
  <c r="W22" i="2"/>
  <c r="W35" i="2" s="1"/>
  <c r="W37" i="2"/>
  <c r="Y29" i="2"/>
  <c r="N36" i="2"/>
  <c r="K35" i="2"/>
  <c r="J68" i="2"/>
  <c r="J77" i="2" s="1"/>
  <c r="W38" i="2"/>
  <c r="X37" i="2"/>
  <c r="N35" i="2"/>
  <c r="K36" i="2"/>
  <c r="W39" i="2"/>
  <c r="K44" i="2"/>
  <c r="X39" i="2"/>
  <c r="N31" i="2"/>
  <c r="N44" i="2"/>
  <c r="H68" i="2"/>
  <c r="H35" i="2"/>
  <c r="H36" i="2"/>
  <c r="H44" i="2"/>
  <c r="X26" i="2"/>
  <c r="X29" i="2" s="1"/>
  <c r="X44" i="2" s="1"/>
  <c r="V26" i="2"/>
  <c r="V35" i="2"/>
  <c r="C31" i="2"/>
  <c r="C33" i="2" s="1"/>
  <c r="C44" i="2"/>
  <c r="I31" i="2"/>
  <c r="I44" i="2"/>
  <c r="R30" i="2"/>
  <c r="R44" i="2" s="1"/>
  <c r="P30" i="2"/>
  <c r="P44" i="2" s="1"/>
  <c r="AD9" i="2" l="1"/>
  <c r="AB6" i="2"/>
  <c r="AB20" i="2"/>
  <c r="AB23" i="2" s="1"/>
  <c r="AB37" i="2" s="1"/>
  <c r="AB16" i="2"/>
  <c r="AC6" i="2"/>
  <c r="AA23" i="2"/>
  <c r="AA37" i="2" s="1"/>
  <c r="AA35" i="2"/>
  <c r="AA25" i="2"/>
  <c r="AA39" i="2" s="1"/>
  <c r="AA41" i="2"/>
  <c r="Z35" i="2"/>
  <c r="Z26" i="2"/>
  <c r="AE5" i="2"/>
  <c r="AD18" i="2"/>
  <c r="O29" i="2"/>
  <c r="O30" i="2" s="1"/>
  <c r="W26" i="2"/>
  <c r="W29" i="2" s="1"/>
  <c r="W44" i="2" s="1"/>
  <c r="N33" i="2"/>
  <c r="N68" i="2"/>
  <c r="N77" i="2" s="1"/>
  <c r="X36" i="2"/>
  <c r="X31" i="2"/>
  <c r="X33" i="2" s="1"/>
  <c r="Q31" i="2"/>
  <c r="Q33" i="2" s="1"/>
  <c r="V29" i="2"/>
  <c r="V36" i="2"/>
  <c r="I68" i="2"/>
  <c r="I33" i="2"/>
  <c r="P31" i="2"/>
  <c r="P33" i="2" s="1"/>
  <c r="R31" i="2"/>
  <c r="R33" i="2" s="1"/>
  <c r="AE9" i="2" l="1"/>
  <c r="AE17" i="2"/>
  <c r="AA21" i="2"/>
  <c r="AB41" i="2"/>
  <c r="AB39" i="2"/>
  <c r="AC16" i="2"/>
  <c r="AC20" i="2"/>
  <c r="AB21" i="2"/>
  <c r="AD6" i="2"/>
  <c r="AD20" i="2"/>
  <c r="AB38" i="2"/>
  <c r="AA26" i="2"/>
  <c r="AA29" i="2" s="1"/>
  <c r="AA30" i="2" s="1"/>
  <c r="AA44" i="2" s="1"/>
  <c r="Z29" i="2"/>
  <c r="Z36" i="2"/>
  <c r="AD16" i="2"/>
  <c r="O44" i="2"/>
  <c r="Y30" i="2"/>
  <c r="AE18" i="2"/>
  <c r="AF5" i="2"/>
  <c r="W31" i="2"/>
  <c r="W33" i="2" s="1"/>
  <c r="W36" i="2"/>
  <c r="X68" i="2"/>
  <c r="X77" i="2" s="1"/>
  <c r="O31" i="2"/>
  <c r="O33" i="2" s="1"/>
  <c r="V31" i="2"/>
  <c r="V44" i="2"/>
  <c r="AB35" i="2" l="1"/>
  <c r="AF9" i="2"/>
  <c r="AF17" i="2"/>
  <c r="AC39" i="2"/>
  <c r="AC23" i="2"/>
  <c r="AC37" i="2" s="1"/>
  <c r="AC41" i="2"/>
  <c r="AC38" i="2"/>
  <c r="AB26" i="2"/>
  <c r="AE6" i="2"/>
  <c r="AE20" i="2"/>
  <c r="AA31" i="2"/>
  <c r="AA33" i="2" s="1"/>
  <c r="AA36" i="2"/>
  <c r="Z30" i="2"/>
  <c r="Z44" i="2" s="1"/>
  <c r="AD41" i="2"/>
  <c r="AD39" i="2"/>
  <c r="AD38" i="2"/>
  <c r="AD23" i="2"/>
  <c r="AD37" i="2" s="1"/>
  <c r="AC21" i="2"/>
  <c r="AC35" i="2"/>
  <c r="AE16" i="2"/>
  <c r="Y31" i="2"/>
  <c r="Y33" i="2" s="1"/>
  <c r="Y44" i="2"/>
  <c r="AF18" i="2"/>
  <c r="AG5" i="2"/>
  <c r="W68" i="2"/>
  <c r="W77" i="2" s="1"/>
  <c r="V68" i="2"/>
  <c r="V77" i="2" s="1"/>
  <c r="V33" i="2"/>
  <c r="AG9" i="2" l="1"/>
  <c r="AG17" i="2"/>
  <c r="AC26" i="2"/>
  <c r="AC29" i="2" s="1"/>
  <c r="AF6" i="2"/>
  <c r="AF20" i="2"/>
  <c r="AB29" i="2"/>
  <c r="AB30" i="2" s="1"/>
  <c r="AB44" i="2" s="1"/>
  <c r="AB36" i="2"/>
  <c r="Z31" i="2"/>
  <c r="Z33" i="2" s="1"/>
  <c r="AD26" i="2"/>
  <c r="AD21" i="2"/>
  <c r="AD35" i="2"/>
  <c r="AE38" i="2"/>
  <c r="AE41" i="2"/>
  <c r="AE23" i="2"/>
  <c r="AE37" i="2" s="1"/>
  <c r="AE39" i="2"/>
  <c r="AF16" i="2"/>
  <c r="AH5" i="2"/>
  <c r="AG18" i="2"/>
  <c r="AH9" i="2" l="1"/>
  <c r="AI4" i="2"/>
  <c r="AH17" i="2"/>
  <c r="AC36" i="2"/>
  <c r="AB31" i="2"/>
  <c r="AB33" i="2" s="1"/>
  <c r="AG20" i="2"/>
  <c r="AG16" i="2"/>
  <c r="AD29" i="2"/>
  <c r="AD36" i="2"/>
  <c r="AE21" i="2"/>
  <c r="AE26" i="2"/>
  <c r="AE35" i="2"/>
  <c r="AG6" i="2"/>
  <c r="AC30" i="2"/>
  <c r="AC44" i="2" s="1"/>
  <c r="AF39" i="2"/>
  <c r="AF21" i="2"/>
  <c r="AF38" i="2"/>
  <c r="AF23" i="2"/>
  <c r="AF37" i="2" s="1"/>
  <c r="AF41" i="2"/>
  <c r="AH18" i="2"/>
  <c r="AI5" i="2"/>
  <c r="AI9" i="2" l="1"/>
  <c r="AJ4" i="2"/>
  <c r="AI17" i="2"/>
  <c r="AC31" i="2"/>
  <c r="AC33" i="2" s="1"/>
  <c r="AG23" i="2"/>
  <c r="AG37" i="2" s="1"/>
  <c r="AG39" i="2"/>
  <c r="AG38" i="2"/>
  <c r="AG41" i="2"/>
  <c r="AH20" i="2"/>
  <c r="AH16" i="2"/>
  <c r="AD30" i="2"/>
  <c r="AD44" i="2" s="1"/>
  <c r="AE36" i="2"/>
  <c r="AE29" i="2"/>
  <c r="AH6" i="2"/>
  <c r="AF35" i="2"/>
  <c r="AF26" i="2"/>
  <c r="AI6" i="2"/>
  <c r="AJ5" i="2"/>
  <c r="AI18" i="2"/>
  <c r="AK4" i="2" l="1"/>
  <c r="AJ9" i="2"/>
  <c r="AJ17" i="2"/>
  <c r="AH23" i="2"/>
  <c r="AH37" i="2" s="1"/>
  <c r="AH38" i="2"/>
  <c r="AH39" i="2"/>
  <c r="AH41" i="2"/>
  <c r="AF36" i="2"/>
  <c r="AF29" i="2"/>
  <c r="AD31" i="2"/>
  <c r="AD33" i="2" s="1"/>
  <c r="AG21" i="2"/>
  <c r="AG26" i="2"/>
  <c r="AG35" i="2"/>
  <c r="AI20" i="2"/>
  <c r="AI22" i="2" s="1"/>
  <c r="AI16" i="2"/>
  <c r="AE30" i="2"/>
  <c r="AE44" i="2" s="1"/>
  <c r="AK5" i="2"/>
  <c r="AJ18" i="2"/>
  <c r="AE31" i="2" l="1"/>
  <c r="AE33" i="2" s="1"/>
  <c r="AL4" i="2"/>
  <c r="AK9" i="2"/>
  <c r="AK17" i="2"/>
  <c r="AJ6" i="2"/>
  <c r="AF30" i="2"/>
  <c r="AF44" i="2" s="1"/>
  <c r="AJ20" i="2"/>
  <c r="AJ22" i="2" s="1"/>
  <c r="AJ16" i="2"/>
  <c r="AG29" i="2"/>
  <c r="AG36" i="2"/>
  <c r="AH21" i="2"/>
  <c r="AH35" i="2"/>
  <c r="AH26" i="2"/>
  <c r="AI41" i="2"/>
  <c r="AI38" i="2"/>
  <c r="AI23" i="2"/>
  <c r="AI37" i="2" s="1"/>
  <c r="AI21" i="2"/>
  <c r="AI39" i="2"/>
  <c r="AL5" i="2"/>
  <c r="AK18" i="2"/>
  <c r="AM4" i="2" l="1"/>
  <c r="AL9" i="2"/>
  <c r="AL17" i="2"/>
  <c r="AK6" i="2"/>
  <c r="AK20" i="2"/>
  <c r="AK22" i="2" s="1"/>
  <c r="AJ41" i="2"/>
  <c r="AJ23" i="2"/>
  <c r="AJ37" i="2" s="1"/>
  <c r="AJ38" i="2"/>
  <c r="AJ39" i="2"/>
  <c r="AI35" i="2"/>
  <c r="AI26" i="2"/>
  <c r="AK16" i="2"/>
  <c r="AG30" i="2"/>
  <c r="AG44" i="2" s="1"/>
  <c r="AH36" i="2"/>
  <c r="AH29" i="2"/>
  <c r="AF31" i="2"/>
  <c r="AF33" i="2" s="1"/>
  <c r="AM5" i="2"/>
  <c r="AL18" i="2"/>
  <c r="AM9" i="2" l="1"/>
  <c r="AM17" i="2"/>
  <c r="AJ21" i="2"/>
  <c r="AJ35" i="2"/>
  <c r="AJ26" i="2"/>
  <c r="AK38" i="2"/>
  <c r="AK39" i="2"/>
  <c r="AK41" i="2"/>
  <c r="AK23" i="2"/>
  <c r="AK37" i="2" s="1"/>
  <c r="AL20" i="2"/>
  <c r="AL22" i="2" s="1"/>
  <c r="AL16" i="2"/>
  <c r="AH30" i="2"/>
  <c r="AH44" i="2" s="1"/>
  <c r="AI36" i="2"/>
  <c r="AI29" i="2"/>
  <c r="AL6" i="2"/>
  <c r="AG31" i="2"/>
  <c r="AG33" i="2" s="1"/>
  <c r="AM18" i="2"/>
  <c r="AM6" i="2" l="1"/>
  <c r="AM20" i="2"/>
  <c r="AM22" i="2" s="1"/>
  <c r="AH31" i="2"/>
  <c r="AH33" i="2" s="1"/>
  <c r="AI30" i="2"/>
  <c r="AI44" i="2" s="1"/>
  <c r="AK35" i="2"/>
  <c r="AK26" i="2"/>
  <c r="AL23" i="2"/>
  <c r="AL37" i="2" s="1"/>
  <c r="AL21" i="2"/>
  <c r="AL38" i="2"/>
  <c r="AL39" i="2"/>
  <c r="AL41" i="2"/>
  <c r="AJ36" i="2"/>
  <c r="AJ29" i="2"/>
  <c r="AM16" i="2"/>
  <c r="AK21" i="2"/>
  <c r="AI31" i="2" l="1"/>
  <c r="AI33" i="2" s="1"/>
  <c r="AL35" i="2"/>
  <c r="AL26" i="2"/>
  <c r="AM38" i="2"/>
  <c r="AM39" i="2"/>
  <c r="AM41" i="2"/>
  <c r="AM23" i="2"/>
  <c r="AM37" i="2" s="1"/>
  <c r="AJ30" i="2"/>
  <c r="AJ44" i="2" s="1"/>
  <c r="AK29" i="2"/>
  <c r="AK36" i="2"/>
  <c r="AJ31" i="2" l="1"/>
  <c r="AJ33" i="2" s="1"/>
  <c r="AL29" i="2"/>
  <c r="AL36" i="2"/>
  <c r="AK30" i="2"/>
  <c r="AK44" i="2" s="1"/>
  <c r="AM21" i="2"/>
  <c r="AM35" i="2"/>
  <c r="AM26" i="2"/>
  <c r="AK31" i="2" l="1"/>
  <c r="AK33" i="2" s="1"/>
  <c r="AM36" i="2"/>
  <c r="AM29" i="2"/>
  <c r="AL30" i="2"/>
  <c r="AL44" i="2" s="1"/>
  <c r="AM30" i="2" l="1"/>
  <c r="AM44" i="2" s="1"/>
  <c r="AL31" i="2"/>
  <c r="AL33" i="2" s="1"/>
  <c r="AM31" i="2" l="1"/>
  <c r="AM33" i="2" l="1"/>
  <c r="AN31" i="2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AP42" i="2" s="1"/>
  <c r="AP44" i="2" s="1"/>
  <c r="AP45" i="2" s="1"/>
  <c r="AP4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Z24" authorId="0" shapeId="0" xr:uid="{22BC53C4-2335-4617-B23B-B988A6E89D17}">
      <text>
        <r>
          <rPr>
            <b/>
            <sz val="9"/>
            <color indexed="81"/>
            <rFont val="Tahoma"/>
            <charset val="1"/>
          </rPr>
          <t>Anton: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<sst xmlns="http://schemas.openxmlformats.org/spreadsheetml/2006/main" count="103" uniqueCount="94">
  <si>
    <t>NFLX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</si>
  <si>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</si>
  <si>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</si>
  <si>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</si>
  <si>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</si>
  <si>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</si>
  <si>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</si>
  <si>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</si>
  <si>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</si>
  <si>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</si>
  <si>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</si>
  <si>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</si>
  <si>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</si>
  <si>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</si>
  <si>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</si>
  <si>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</si>
  <si>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</si>
  <si>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</si>
  <si>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</si>
  <si>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</si>
  <si>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</si>
  <si>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</si>
  <si>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</si>
  <si>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Q113</t>
  </si>
  <si>
    <t>Q213</t>
  </si>
  <si>
    <t>Q313</t>
  </si>
  <si>
    <t>Q413</t>
  </si>
  <si>
    <t>Cost of sales</t>
  </si>
  <si>
    <t>Gross profit</t>
  </si>
  <si>
    <t>R&amp;D</t>
  </si>
  <si>
    <t>Marketing</t>
  </si>
  <si>
    <t>G&amp;A</t>
  </si>
  <si>
    <t>Operating profit</t>
  </si>
  <si>
    <t>Interest expense</t>
  </si>
  <si>
    <t>Interest income</t>
  </si>
  <si>
    <t>Pretax income</t>
  </si>
  <si>
    <t>Taxes</t>
  </si>
  <si>
    <t>Net income</t>
  </si>
  <si>
    <t>EPS</t>
  </si>
  <si>
    <t>Content assets</t>
  </si>
  <si>
    <t>OCA</t>
  </si>
  <si>
    <t>Non-current content assets</t>
  </si>
  <si>
    <t>PPE</t>
  </si>
  <si>
    <t>ONCA</t>
  </si>
  <si>
    <t>Total assets</t>
  </si>
  <si>
    <t>Content liabilities</t>
  </si>
  <si>
    <t>A/P</t>
  </si>
  <si>
    <t>A/E</t>
  </si>
  <si>
    <t>D/R</t>
  </si>
  <si>
    <t>Non-current content liabilities</t>
  </si>
  <si>
    <t>Long-term debt</t>
  </si>
  <si>
    <t>ONCL</t>
  </si>
  <si>
    <t>Total liabilities</t>
  </si>
  <si>
    <t>S/E</t>
  </si>
  <si>
    <t>L+S/E</t>
  </si>
  <si>
    <t>Change in content assets</t>
  </si>
  <si>
    <t>Change in content liabilities</t>
  </si>
  <si>
    <t>D&amp;A</t>
  </si>
  <si>
    <t>SBC</t>
  </si>
  <si>
    <t>SBC tax benefit</t>
  </si>
  <si>
    <t>Other non-cash items</t>
  </si>
  <si>
    <t>Deferred taxes</t>
  </si>
  <si>
    <t>Changes in operating A&amp;L</t>
  </si>
  <si>
    <t>CFFO</t>
  </si>
  <si>
    <t>Net cash</t>
  </si>
  <si>
    <t>Revenue y/y</t>
  </si>
  <si>
    <t>Gross Margin</t>
  </si>
  <si>
    <t>Operating Margin</t>
  </si>
  <si>
    <t>Revenue q/q</t>
  </si>
  <si>
    <t>Marketing Margin</t>
  </si>
  <si>
    <t>R&amp;D Margin</t>
  </si>
  <si>
    <t>G&amp;A Margin</t>
  </si>
  <si>
    <t>Total users</t>
  </si>
  <si>
    <t>Domestic streamers</t>
  </si>
  <si>
    <t>International streamers</t>
  </si>
  <si>
    <t>Domestic DVD</t>
  </si>
  <si>
    <t>Domestic streamer revenue</t>
  </si>
  <si>
    <t>International streamer revenue</t>
  </si>
  <si>
    <t>Domestic DVD revenue</t>
  </si>
  <si>
    <t>Historically, first and fourth quarters represent our strongest net membership additions and our second quarter representing the lowest net membership additions</t>
  </si>
  <si>
    <t>Domestic streamer growth</t>
  </si>
  <si>
    <t>International streamer growth</t>
  </si>
  <si>
    <t>Domestic DVD growth</t>
  </si>
  <si>
    <t>DVD RPU</t>
  </si>
  <si>
    <t>Dom RPU</t>
  </si>
  <si>
    <t>Int RPU</t>
  </si>
  <si>
    <t>Maturity</t>
  </si>
  <si>
    <t>Discount rate</t>
  </si>
  <si>
    <t>NPV</t>
  </si>
  <si>
    <t>Value</t>
  </si>
  <si>
    <t>Per share</t>
  </si>
  <si>
    <t>Current price</t>
  </si>
  <si>
    <t>Variance</t>
  </si>
  <si>
    <t>important point, as numbers change radically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</si>
</sst>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Inherit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4" fillId="0" borderId="0" xfId="0" applyFont="1"/>
    <xf numFmtId="9" fontId="0" fillId="0" borderId="0" xfId="0" applyNumberFormat="1" applyFont="1" applyAlignment="1">
      <alignment horizontal="right"/>
    </xf>
    <xf numFmtId="9" fontId="0" fillId="0" borderId="0" xfId="0" applyNumberFormat="1" applyFont="1"/>
    <xf numFmtId="8" fontId="0" fillId="0" borderId="0" xfId="0" applyNumberFormat="1"/>
    <xf numFmtId="8" fontId="0" fillId="0" borderId="0" xfId="0" applyNumberFormat="1" applyFon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0</xdr:row>
      <xdr:rowOff>53340</xdr:rowOff>
    </xdr:from>
    <xdr:to>
      <xdr:col>14</xdr:col>
      <xdr:colOff>30480</xdr:colOff>
      <xdr:row>86</xdr:row>
      <xdr:rowOff>30480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3EBE6EA-1CF3-4989-B014-0F45CCB55163}"/>
            </a:ext>
          </a:extLst>
        </xdr:cNvPr>
        <xdr:cNvCxnSpPr/>
      </xdr:nvCxnSpPr>
      <xdr:spPr>
        <a:xfrm>
          <a:off x="8953500" y="53340"/>
          <a:ext cx="0" cy="10401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C322-93AA-479D-AFD9-53860A6AE62F}">
  <dimension ref="B2:F12"/>
  <sheetViews>
    <sheetView workbookViewId="0">
      <selection activeCell="E16" sqref="E16"/>
    </sheetView>
  </sheetViews>
  <sheetFormatPr defaultRowHeight="14.4"/>
  <cols>
    <col min="5" max="6" width="16.109375" customWidth="1"/>
  </cols>
  <sheetData>
    <row r="2" spans="2:6">
      <c r="E2" s="3" t="s">
        <v>8</v>
      </c>
      <c r="F2" s="3" t="s">
        <v>9</v>
      </c>
    </row>
    <row r="3" spans="2:6">
      <c r="B3" s="1" t="s">
        <v>0</v>
      </c>
      <c r="C3" t="s">
        <v>1</v>
      </c>
      <c r="D3">
        <v>100</v>
      </c>
      <c r="E3" s="4">
        <v>42448</v>
      </c>
      <c r="F3" s="4">
        <v>42448</v>
      </c>
    </row>
    <row r="4" spans="2:6">
      <c r="C4" t="s">
        <v>2</v>
      </c>
      <c r="D4" s="2">
        <v>428.1</v>
      </c>
      <c r="E4" s="3" t="s">
        <v>10</v>
      </c>
      <c r="F4" s="3"/>
    </row>
    <row r="5" spans="2:6">
      <c r="C5" t="s">
        <v>3</v>
      </c>
      <c r="D5" s="2">
        <f>D3*D4</f>
        <v>42810</v>
      </c>
      <c r="E5" s="3"/>
      <c r="F5" s="3"/>
    </row>
    <row r="6" spans="2:6">
      <c r="C6" t="s">
        <v>4</v>
      </c>
      <c r="D6" s="2">
        <f>1809.3+501.4</f>
        <v>2310.6999999999998</v>
      </c>
      <c r="E6" s="3" t="s">
        <v>10</v>
      </c>
      <c r="F6" s="3"/>
    </row>
    <row r="7" spans="2:6">
      <c r="C7" t="s">
        <v>5</v>
      </c>
      <c r="D7" s="2">
        <f>2371.4</f>
        <v>2371.4</v>
      </c>
      <c r="E7" s="3" t="s">
        <v>10</v>
      </c>
      <c r="F7" s="3"/>
    </row>
    <row r="8" spans="2:6">
      <c r="C8" t="s">
        <v>6</v>
      </c>
      <c r="D8" s="2">
        <f>D6-D7</f>
        <v>-60.700000000000273</v>
      </c>
      <c r="E8" s="3" t="s">
        <v>10</v>
      </c>
      <c r="F8" s="3"/>
    </row>
    <row r="9" spans="2:6">
      <c r="C9" t="s">
        <v>7</v>
      </c>
      <c r="D9" s="2">
        <f>D5+D8</f>
        <v>42749.3</v>
      </c>
      <c r="E9" s="3"/>
      <c r="F9" s="3"/>
    </row>
    <row r="12" spans="2:6">
      <c r="C12" s="16" t="s">
        <v>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5757-034B-4DCF-8358-9B54697CFAEA}">
  <dimension ref="B2:DJ77"/>
  <sheetViews>
    <sheetView tabSelected="1" zoomScaleNormal="100"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AO25" sqref="AO25"/>
    </sheetView>
  </sheetViews>
  <sheetFormatPr defaultRowHeight="14.4"/>
  <cols>
    <col min="2" max="2" width="26.77734375" bestFit="1" customWidth="1"/>
    <col min="41" max="42" width="12" bestFit="1" customWidth="1"/>
  </cols>
  <sheetData>
    <row r="2" spans="2:39">
      <c r="C2" s="5" t="s">
        <v>23</v>
      </c>
      <c r="D2" s="5" t="s">
        <v>24</v>
      </c>
      <c r="E2" s="5" t="s">
        <v>25</v>
      </c>
      <c r="F2" s="5" t="s">
        <v>26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10</v>
      </c>
      <c r="O2" s="5" t="s">
        <v>19</v>
      </c>
      <c r="P2" s="5" t="s">
        <v>20</v>
      </c>
      <c r="Q2" s="5" t="s">
        <v>21</v>
      </c>
      <c r="R2" s="5" t="s">
        <v>22</v>
      </c>
      <c r="T2">
        <v>2011</v>
      </c>
      <c r="U2">
        <v>2012</v>
      </c>
      <c r="V2">
        <v>2013</v>
      </c>
      <c r="W2">
        <v>2014</v>
      </c>
      <c r="X2">
        <v>2015</v>
      </c>
      <c r="Y2">
        <v>2016</v>
      </c>
      <c r="Z2">
        <v>2017</v>
      </c>
      <c r="AA2">
        <v>2018</v>
      </c>
      <c r="AB2">
        <v>2019</v>
      </c>
      <c r="AC2">
        <v>2020</v>
      </c>
      <c r="AD2">
        <v>2021</v>
      </c>
      <c r="AE2">
        <v>2022</v>
      </c>
      <c r="AF2">
        <v>2023</v>
      </c>
      <c r="AG2">
        <v>2024</v>
      </c>
      <c r="AH2">
        <v>2025</v>
      </c>
      <c r="AI2">
        <v>2026</v>
      </c>
      <c r="AJ2">
        <v>2027</v>
      </c>
      <c r="AK2">
        <v>2028</v>
      </c>
      <c r="AL2">
        <v>2029</v>
      </c>
      <c r="AM2">
        <v>2030</v>
      </c>
    </row>
    <row r="3" spans="2:39">
      <c r="B3" t="s">
        <v>73</v>
      </c>
      <c r="C3" s="13"/>
      <c r="D3" s="13"/>
      <c r="E3" s="13"/>
      <c r="F3" s="13"/>
      <c r="G3" s="13">
        <v>35.673999999999999</v>
      </c>
      <c r="H3" s="13">
        <v>36.244</v>
      </c>
      <c r="I3" s="13">
        <v>37.219000000000001</v>
      </c>
      <c r="J3" s="13">
        <v>39.113999999999997</v>
      </c>
      <c r="K3" s="13">
        <v>41.396999999999998</v>
      </c>
      <c r="L3" s="13">
        <v>42.3</v>
      </c>
      <c r="M3" s="13">
        <v>43.180999999999997</v>
      </c>
      <c r="N3" s="13">
        <v>44.738</v>
      </c>
      <c r="O3" s="13">
        <f>K3*1.14</f>
        <v>47.192579999999992</v>
      </c>
      <c r="P3" s="13">
        <f>L3*1.13</f>
        <v>47.798999999999992</v>
      </c>
      <c r="Q3" s="13">
        <f>M3*1.15</f>
        <v>49.658149999999992</v>
      </c>
      <c r="R3" s="13">
        <f>N3*1.15</f>
        <v>51.448699999999995</v>
      </c>
      <c r="W3" s="10">
        <f>AVERAGE(G3:J3)</f>
        <v>37.062750000000001</v>
      </c>
      <c r="X3" s="10">
        <f>AVERAGE(K3:N3)</f>
        <v>42.903999999999996</v>
      </c>
      <c r="Y3" s="6">
        <f>AVERAGE(O3:R3)</f>
        <v>49.024607499999995</v>
      </c>
      <c r="Z3" s="6">
        <f>Y3*1.1</f>
        <v>53.927068249999998</v>
      </c>
      <c r="AA3" s="6">
        <f t="shared" ref="AA3:AC3" si="0">Z3*1.1</f>
        <v>59.319775075000003</v>
      </c>
      <c r="AB3" s="6">
        <f t="shared" si="0"/>
        <v>65.251752582500004</v>
      </c>
      <c r="AC3" s="6">
        <f t="shared" si="0"/>
        <v>71.776927840750005</v>
      </c>
      <c r="AD3" s="6">
        <f>AC3*1.05</f>
        <v>75.365774232787516</v>
      </c>
      <c r="AE3" s="6">
        <f t="shared" ref="AE3:AH3" si="1">AD3*1.05</f>
        <v>79.134062944426901</v>
      </c>
      <c r="AF3" s="6">
        <f t="shared" si="1"/>
        <v>83.090766091648248</v>
      </c>
      <c r="AG3" s="6">
        <f t="shared" si="1"/>
        <v>87.245304396230665</v>
      </c>
      <c r="AH3" s="6">
        <f t="shared" si="1"/>
        <v>91.607569616042198</v>
      </c>
      <c r="AI3" s="6">
        <f>AH3*1.02</f>
        <v>93.439721008363037</v>
      </c>
      <c r="AJ3" s="6">
        <f t="shared" ref="AJ3:AM3" si="2">AI3*1.02</f>
        <v>95.308515428530299</v>
      </c>
      <c r="AK3" s="6">
        <f t="shared" si="2"/>
        <v>97.214685737100908</v>
      </c>
      <c r="AL3" s="6">
        <f t="shared" si="2"/>
        <v>99.158979451842924</v>
      </c>
      <c r="AM3" s="6">
        <f t="shared" si="2"/>
        <v>101.14215904087979</v>
      </c>
    </row>
    <row r="4" spans="2:39">
      <c r="B4" t="s">
        <v>74</v>
      </c>
      <c r="C4" s="13"/>
      <c r="D4" s="13"/>
      <c r="E4" s="13"/>
      <c r="F4" s="13"/>
      <c r="G4" s="13">
        <v>12.683</v>
      </c>
      <c r="H4" s="13">
        <v>13.801</v>
      </c>
      <c r="I4" s="13">
        <v>15.843</v>
      </c>
      <c r="J4" s="13">
        <v>18.277000000000001</v>
      </c>
      <c r="K4" s="13">
        <v>20.876999999999999</v>
      </c>
      <c r="L4" s="13">
        <v>23.251000000000001</v>
      </c>
      <c r="M4" s="13">
        <v>25.986999999999998</v>
      </c>
      <c r="N4" s="13">
        <v>30.024000000000001</v>
      </c>
      <c r="O4" s="13">
        <f>K4*1.6</f>
        <v>33.403199999999998</v>
      </c>
      <c r="P4" s="13">
        <f>L4*1.55</f>
        <v>36.039050000000003</v>
      </c>
      <c r="Q4" s="13">
        <f t="shared" ref="Q4" si="3">M4*1.6</f>
        <v>41.5792</v>
      </c>
      <c r="R4" s="13">
        <f>N4*1.6</f>
        <v>48.038400000000003</v>
      </c>
      <c r="W4" s="10">
        <f>AVERAGE(G4:J4)</f>
        <v>15.151</v>
      </c>
      <c r="X4" s="10">
        <f t="shared" ref="X4:X5" si="4">AVERAGE(K4:N4)</f>
        <v>25.034749999999999</v>
      </c>
      <c r="Y4" s="6">
        <f t="shared" ref="Y4:Y5" si="5">AVERAGE(O4:R4)</f>
        <v>39.764962500000003</v>
      </c>
      <c r="Z4" s="6">
        <f>Y4*1.5</f>
        <v>59.647443750000008</v>
      </c>
      <c r="AA4" s="6">
        <f>Z4*1.35</f>
        <v>80.524049062500012</v>
      </c>
      <c r="AB4" s="6">
        <f>AA4*1.25</f>
        <v>100.65506132812502</v>
      </c>
      <c r="AC4" s="6">
        <f>AB4*1.2</f>
        <v>120.78607359375002</v>
      </c>
      <c r="AD4" s="6">
        <f>AC4*1.1</f>
        <v>132.86468095312503</v>
      </c>
      <c r="AE4" s="6">
        <f t="shared" ref="AE4:AH4" si="6">AD4*1.1</f>
        <v>146.15114904843756</v>
      </c>
      <c r="AF4" s="6">
        <f t="shared" si="6"/>
        <v>160.76626395328134</v>
      </c>
      <c r="AG4" s="6">
        <f t="shared" si="6"/>
        <v>176.8428903486095</v>
      </c>
      <c r="AH4" s="6">
        <f t="shared" si="6"/>
        <v>194.52717938347047</v>
      </c>
      <c r="AI4" s="6">
        <f>AH4*1.02</f>
        <v>198.41772297113988</v>
      </c>
      <c r="AJ4" s="6">
        <f t="shared" ref="AJ4:AM4" si="7">AI4*1.02</f>
        <v>202.38607743056269</v>
      </c>
      <c r="AK4" s="6">
        <f t="shared" si="7"/>
        <v>206.43379897917396</v>
      </c>
      <c r="AL4" s="6">
        <f t="shared" si="7"/>
        <v>210.56247495875743</v>
      </c>
      <c r="AM4" s="6">
        <f t="shared" si="7"/>
        <v>214.77372445793259</v>
      </c>
    </row>
    <row r="5" spans="2:39">
      <c r="B5" t="s">
        <v>75</v>
      </c>
      <c r="C5" s="13"/>
      <c r="D5" s="13"/>
      <c r="E5" s="13"/>
      <c r="F5" s="13"/>
      <c r="G5" s="13">
        <v>6.6520000000000001</v>
      </c>
      <c r="H5" s="13">
        <v>6.2610000000000001</v>
      </c>
      <c r="I5" s="13">
        <v>5.9859999999999998</v>
      </c>
      <c r="J5" s="13">
        <v>5.7670000000000003</v>
      </c>
      <c r="K5" s="13">
        <v>5.5640000000000001</v>
      </c>
      <c r="L5" s="13">
        <v>5.3140000000000001</v>
      </c>
      <c r="M5" s="13">
        <v>5.0599999999999996</v>
      </c>
      <c r="N5" s="13">
        <v>4.9039999999999999</v>
      </c>
      <c r="O5" s="13">
        <f>K5*0.85</f>
        <v>4.7294</v>
      </c>
      <c r="P5" s="13">
        <f t="shared" ref="P5:R5" si="8">L5*0.85</f>
        <v>4.5168999999999997</v>
      </c>
      <c r="Q5" s="13">
        <f t="shared" si="8"/>
        <v>4.3009999999999993</v>
      </c>
      <c r="R5" s="13">
        <f t="shared" si="8"/>
        <v>4.1684000000000001</v>
      </c>
      <c r="W5" s="10">
        <f>AVERAGE(G5:J5)</f>
        <v>6.1665000000000001</v>
      </c>
      <c r="X5" s="10">
        <f t="shared" si="4"/>
        <v>5.2104999999999997</v>
      </c>
      <c r="Y5" s="6">
        <f t="shared" si="5"/>
        <v>4.4289249999999996</v>
      </c>
      <c r="Z5" s="6">
        <f>Y5*0.85</f>
        <v>3.7645862499999994</v>
      </c>
      <c r="AA5" s="6">
        <f t="shared" ref="AA5:AM5" si="9">Z5*0.85</f>
        <v>3.1998983124999993</v>
      </c>
      <c r="AB5" s="6">
        <f t="shared" si="9"/>
        <v>2.7199135656249993</v>
      </c>
      <c r="AC5" s="6">
        <f t="shared" si="9"/>
        <v>2.3119265307812493</v>
      </c>
      <c r="AD5" s="6">
        <f t="shared" si="9"/>
        <v>1.9651375511640619</v>
      </c>
      <c r="AE5" s="6">
        <f t="shared" si="9"/>
        <v>1.6703669184894525</v>
      </c>
      <c r="AF5" s="6">
        <f t="shared" si="9"/>
        <v>1.4198118807160347</v>
      </c>
      <c r="AG5" s="6">
        <f t="shared" si="9"/>
        <v>1.2068400986086294</v>
      </c>
      <c r="AH5" s="6">
        <f t="shared" si="9"/>
        <v>1.0258140838173349</v>
      </c>
      <c r="AI5" s="6">
        <f t="shared" si="9"/>
        <v>0.8719419712447346</v>
      </c>
      <c r="AJ5" s="6">
        <f t="shared" si="9"/>
        <v>0.74115067555802439</v>
      </c>
      <c r="AK5" s="6">
        <f t="shared" si="9"/>
        <v>0.62997807422432073</v>
      </c>
      <c r="AL5" s="6">
        <f t="shared" si="9"/>
        <v>0.53548136309067262</v>
      </c>
      <c r="AM5" s="6">
        <f t="shared" si="9"/>
        <v>0.45515915862707174</v>
      </c>
    </row>
    <row r="6" spans="2:39" s="1" customFormat="1">
      <c r="B6" s="1" t="s">
        <v>72</v>
      </c>
      <c r="C6" s="14">
        <f t="shared" ref="C6:J6" si="10">C3+C4+C5</f>
        <v>0</v>
      </c>
      <c r="D6" s="14">
        <f t="shared" si="10"/>
        <v>0</v>
      </c>
      <c r="E6" s="14">
        <f t="shared" si="10"/>
        <v>0</v>
      </c>
      <c r="F6" s="14">
        <f t="shared" si="10"/>
        <v>0</v>
      </c>
      <c r="G6" s="14">
        <f t="shared" si="10"/>
        <v>55.009</v>
      </c>
      <c r="H6" s="14">
        <f t="shared" si="10"/>
        <v>56.306000000000004</v>
      </c>
      <c r="I6" s="14">
        <f t="shared" si="10"/>
        <v>59.047999999999995</v>
      </c>
      <c r="J6" s="14">
        <f t="shared" si="10"/>
        <v>63.158000000000001</v>
      </c>
      <c r="K6" s="14">
        <f>K3+K4+K5</f>
        <v>67.837999999999994</v>
      </c>
      <c r="L6" s="14">
        <f t="shared" ref="L6:N6" si="11">L3+L4+L5</f>
        <v>70.865000000000009</v>
      </c>
      <c r="M6" s="14">
        <f t="shared" si="11"/>
        <v>74.227999999999994</v>
      </c>
      <c r="N6" s="14">
        <f t="shared" si="11"/>
        <v>79.665999999999997</v>
      </c>
      <c r="O6" s="14">
        <f t="shared" ref="O6" si="12">O3+O4+O5</f>
        <v>85.325179999999989</v>
      </c>
      <c r="P6" s="14">
        <f t="shared" ref="P6" si="13">P3+P4+P5</f>
        <v>88.354950000000002</v>
      </c>
      <c r="Q6" s="14">
        <f t="shared" ref="Q6" si="14">Q3+Q4+Q5</f>
        <v>95.538349999999994</v>
      </c>
      <c r="R6" s="14">
        <f t="shared" ref="R6" si="15">R3+R4+R5</f>
        <v>103.6555</v>
      </c>
      <c r="W6" s="7">
        <f>W3+W4+W5</f>
        <v>58.380250000000004</v>
      </c>
      <c r="X6" s="7">
        <f>X3+X4+X5</f>
        <v>73.149249999999995</v>
      </c>
      <c r="Y6" s="7">
        <f>Y3+Y4+Y5</f>
        <v>93.21849499999999</v>
      </c>
      <c r="Z6" s="7">
        <f t="shared" ref="Z6:AM6" si="16">Z3+Z4+Z5</f>
        <v>117.33909824999999</v>
      </c>
      <c r="AA6" s="7">
        <f t="shared" si="16"/>
        <v>143.04372245000002</v>
      </c>
      <c r="AB6" s="7">
        <f t="shared" si="16"/>
        <v>168.62672747625004</v>
      </c>
      <c r="AC6" s="7">
        <f t="shared" si="16"/>
        <v>194.87492796528127</v>
      </c>
      <c r="AD6" s="7">
        <f t="shared" si="16"/>
        <v>210.19559273707659</v>
      </c>
      <c r="AE6" s="7">
        <f t="shared" si="16"/>
        <v>226.95557891135391</v>
      </c>
      <c r="AF6" s="7">
        <f t="shared" si="16"/>
        <v>245.27684192564561</v>
      </c>
      <c r="AG6" s="7">
        <f t="shared" si="16"/>
        <v>265.29503484344878</v>
      </c>
      <c r="AH6" s="7">
        <f t="shared" si="16"/>
        <v>287.16056308333003</v>
      </c>
      <c r="AI6" s="7">
        <f t="shared" si="16"/>
        <v>292.72938595074766</v>
      </c>
      <c r="AJ6" s="7">
        <f t="shared" si="16"/>
        <v>298.43574353465101</v>
      </c>
      <c r="AK6" s="7">
        <f t="shared" si="16"/>
        <v>304.27846279049919</v>
      </c>
      <c r="AL6" s="7">
        <f t="shared" si="16"/>
        <v>310.25693577369105</v>
      </c>
      <c r="AM6" s="7">
        <f t="shared" si="16"/>
        <v>316.37104265743943</v>
      </c>
    </row>
    <row r="7" spans="2:39" s="1" customFormat="1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2:39">
      <c r="B8" t="s">
        <v>76</v>
      </c>
      <c r="C8" s="13"/>
      <c r="D8" s="13"/>
      <c r="E8" s="13"/>
      <c r="F8" s="13"/>
      <c r="G8" s="13">
        <v>798.61699999999996</v>
      </c>
      <c r="H8" s="13">
        <v>838.22500000000002</v>
      </c>
      <c r="I8" s="13">
        <v>877.15</v>
      </c>
      <c r="J8" s="13">
        <v>917.44200000000001</v>
      </c>
      <c r="K8" s="13">
        <v>984.53200000000004</v>
      </c>
      <c r="L8" s="13">
        <v>1025.913</v>
      </c>
      <c r="M8" s="13">
        <v>1063.961</v>
      </c>
      <c r="N8" s="13">
        <v>1105.933</v>
      </c>
      <c r="O8" s="13">
        <f>O3*O12</f>
        <v>1179.8144999999997</v>
      </c>
      <c r="P8" s="13">
        <f t="shared" ref="P8:R8" si="17">P3*P12</f>
        <v>1194.9749999999999</v>
      </c>
      <c r="Q8" s="13">
        <f t="shared" si="17"/>
        <v>1241.4537499999999</v>
      </c>
      <c r="R8" s="13">
        <f t="shared" si="17"/>
        <v>1337.6661999999999</v>
      </c>
      <c r="W8" s="10">
        <f>SUM(G8:J8)</f>
        <v>3431.4340000000002</v>
      </c>
      <c r="X8" s="10">
        <f>SUM(K8:N8)</f>
        <v>4180.3389999999999</v>
      </c>
      <c r="Y8" s="6">
        <f>SUM(O8:R8)</f>
        <v>4953.9094499999992</v>
      </c>
      <c r="Z8" s="13">
        <f>Z3*Z12</f>
        <v>5608.4150979999995</v>
      </c>
      <c r="AA8" s="13">
        <f t="shared" ref="AA8:AM8" si="18">AA3*AA12</f>
        <v>6354.3343060340003</v>
      </c>
      <c r="AB8" s="13">
        <f t="shared" si="18"/>
        <v>7199.4607687365224</v>
      </c>
      <c r="AC8" s="13">
        <f t="shared" si="18"/>
        <v>8156.98905097848</v>
      </c>
      <c r="AD8" s="13">
        <f t="shared" si="18"/>
        <v>8821.7836586332269</v>
      </c>
      <c r="AE8" s="13">
        <f t="shared" si="18"/>
        <v>9540.7590268118365</v>
      </c>
      <c r="AF8" s="13">
        <f t="shared" si="18"/>
        <v>10318.330887497003</v>
      </c>
      <c r="AG8" s="13">
        <f t="shared" si="18"/>
        <v>11159.274854828009</v>
      </c>
      <c r="AH8" s="13">
        <f t="shared" si="18"/>
        <v>12068.755755496491</v>
      </c>
      <c r="AI8" s="13">
        <f t="shared" si="18"/>
        <v>12433.232179312487</v>
      </c>
      <c r="AJ8" s="13">
        <f t="shared" si="18"/>
        <v>12808.715791127723</v>
      </c>
      <c r="AK8" s="13">
        <f t="shared" si="18"/>
        <v>13195.539008019781</v>
      </c>
      <c r="AL8" s="13">
        <f t="shared" si="18"/>
        <v>13594.044286061979</v>
      </c>
      <c r="AM8" s="13">
        <f t="shared" si="18"/>
        <v>14004.584423501052</v>
      </c>
    </row>
    <row r="9" spans="2:39">
      <c r="B9" t="s">
        <v>77</v>
      </c>
      <c r="C9" s="13"/>
      <c r="D9" s="13"/>
      <c r="E9" s="13"/>
      <c r="F9" s="13"/>
      <c r="G9" s="13">
        <v>267.11799999999999</v>
      </c>
      <c r="H9" s="13">
        <v>307.46100000000001</v>
      </c>
      <c r="I9" s="13">
        <v>345.685</v>
      </c>
      <c r="J9" s="13">
        <v>387.79700000000003</v>
      </c>
      <c r="K9" s="13">
        <v>415.39699999999999</v>
      </c>
      <c r="L9" s="13">
        <v>454.76299999999998</v>
      </c>
      <c r="M9" s="13">
        <v>516.87</v>
      </c>
      <c r="N9" s="13">
        <v>566.40499999999997</v>
      </c>
      <c r="O9" s="13">
        <f>O4*O13</f>
        <v>634.66079999999999</v>
      </c>
      <c r="P9" s="13">
        <f t="shared" ref="P9:R9" si="19">P4*P13</f>
        <v>684.74195000000009</v>
      </c>
      <c r="Q9" s="13">
        <f t="shared" si="19"/>
        <v>790.00480000000005</v>
      </c>
      <c r="R9" s="13">
        <f t="shared" si="19"/>
        <v>912.7296</v>
      </c>
      <c r="W9" s="10">
        <f>SUM(G9:J9)</f>
        <v>1308.0609999999999</v>
      </c>
      <c r="X9" s="10">
        <f>SUM(K9:N9)</f>
        <v>1953.4349999999999</v>
      </c>
      <c r="Y9" s="6">
        <f>SUM(O9:R9)</f>
        <v>3022.1371500000005</v>
      </c>
      <c r="Z9" s="13">
        <f>Z4*Z13</f>
        <v>4473.5582812500006</v>
      </c>
      <c r="AA9" s="13">
        <f t="shared" ref="AA9:AM9" si="20">AA4*AA13</f>
        <v>6220.4827900781256</v>
      </c>
      <c r="AB9" s="13">
        <f t="shared" si="20"/>
        <v>8008.8715922255869</v>
      </c>
      <c r="AC9" s="13">
        <f t="shared" si="20"/>
        <v>9898.9652879908263</v>
      </c>
      <c r="AD9" s="13">
        <f t="shared" si="20"/>
        <v>11215.527671293607</v>
      </c>
      <c r="AE9" s="13">
        <f t="shared" si="20"/>
        <v>12707.192851575659</v>
      </c>
      <c r="AF9" s="13">
        <f t="shared" si="20"/>
        <v>14397.249500835223</v>
      </c>
      <c r="AG9" s="13">
        <f t="shared" si="20"/>
        <v>16312.08368444631</v>
      </c>
      <c r="AH9" s="13">
        <f t="shared" si="20"/>
        <v>18481.590814477669</v>
      </c>
      <c r="AI9" s="13">
        <f t="shared" si="20"/>
        <v>19793.783762305586</v>
      </c>
      <c r="AJ9" s="13">
        <f t="shared" si="20"/>
        <v>21199.142409429285</v>
      </c>
      <c r="AK9" s="13">
        <f t="shared" si="20"/>
        <v>22704.281520498767</v>
      </c>
      <c r="AL9" s="13">
        <f t="shared" si="20"/>
        <v>24316.285508454181</v>
      </c>
      <c r="AM9" s="13">
        <f t="shared" si="20"/>
        <v>26042.741779554428</v>
      </c>
    </row>
    <row r="10" spans="2:39">
      <c r="B10" t="s">
        <v>78</v>
      </c>
      <c r="C10" s="13"/>
      <c r="D10" s="13"/>
      <c r="E10" s="13"/>
      <c r="F10" s="13"/>
      <c r="G10" s="13">
        <v>204.35400000000001</v>
      </c>
      <c r="H10" s="13">
        <v>194.721</v>
      </c>
      <c r="I10" s="13">
        <v>186.59700000000001</v>
      </c>
      <c r="J10" s="13">
        <v>179.489</v>
      </c>
      <c r="K10" s="13">
        <v>173.2</v>
      </c>
      <c r="L10" s="13">
        <v>164.018</v>
      </c>
      <c r="M10" s="13">
        <v>157.524</v>
      </c>
      <c r="N10" s="13">
        <v>150.995</v>
      </c>
      <c r="O10" s="13">
        <f>O5*O14</f>
        <v>146.6114</v>
      </c>
      <c r="P10" s="13">
        <f t="shared" ref="P10:R10" si="21">P5*P14</f>
        <v>140.0239</v>
      </c>
      <c r="Q10" s="13">
        <f t="shared" si="21"/>
        <v>133.33099999999999</v>
      </c>
      <c r="R10" s="13">
        <f t="shared" si="21"/>
        <v>129.22040000000001</v>
      </c>
      <c r="W10" s="10">
        <f>SUM(G10:J10)</f>
        <v>765.16100000000006</v>
      </c>
      <c r="X10" s="10">
        <f>SUM(K10:N10)</f>
        <v>645.73699999999997</v>
      </c>
      <c r="Y10" s="6">
        <f>SUM(O10:R10)</f>
        <v>549.18670000000009</v>
      </c>
      <c r="Z10" s="13">
        <f>Z5*Z14</f>
        <v>466.80869499999994</v>
      </c>
      <c r="AA10" s="13">
        <f t="shared" ref="AA10:AM10" si="22">AA5*AA14</f>
        <v>396.78739074999993</v>
      </c>
      <c r="AB10" s="13">
        <f t="shared" si="22"/>
        <v>337.26928213749989</v>
      </c>
      <c r="AC10" s="13">
        <f t="shared" si="22"/>
        <v>286.67888981687491</v>
      </c>
      <c r="AD10" s="13">
        <f t="shared" si="22"/>
        <v>243.67705634434367</v>
      </c>
      <c r="AE10" s="13">
        <f t="shared" si="22"/>
        <v>207.12549789269212</v>
      </c>
      <c r="AF10" s="13">
        <f t="shared" si="22"/>
        <v>176.05667320878831</v>
      </c>
      <c r="AG10" s="13">
        <f t="shared" si="22"/>
        <v>149.64817222747004</v>
      </c>
      <c r="AH10" s="13">
        <f t="shared" si="22"/>
        <v>127.20094639334953</v>
      </c>
      <c r="AI10" s="13">
        <f t="shared" si="22"/>
        <v>108.12080443434709</v>
      </c>
      <c r="AJ10" s="13">
        <f t="shared" si="22"/>
        <v>91.902683769195022</v>
      </c>
      <c r="AK10" s="13">
        <f t="shared" si="22"/>
        <v>78.117281203815764</v>
      </c>
      <c r="AL10" s="13">
        <f t="shared" si="22"/>
        <v>66.399689023243411</v>
      </c>
      <c r="AM10" s="13">
        <f t="shared" si="22"/>
        <v>56.439735669756892</v>
      </c>
    </row>
    <row r="11" spans="2:39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Z11" s="11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2:39">
      <c r="B12" t="s">
        <v>84</v>
      </c>
      <c r="C12" s="13"/>
      <c r="D12" s="13"/>
      <c r="E12" s="13"/>
      <c r="F12" s="13"/>
      <c r="G12" s="15">
        <f t="shared" ref="G12:N14" si="23">G8/G3</f>
        <v>22.386528003588047</v>
      </c>
      <c r="H12" s="15">
        <f t="shared" si="23"/>
        <v>23.127276238825736</v>
      </c>
      <c r="I12" s="15">
        <f t="shared" si="23"/>
        <v>23.567264031811707</v>
      </c>
      <c r="J12" s="15">
        <f t="shared" si="23"/>
        <v>23.455591348366315</v>
      </c>
      <c r="K12" s="15">
        <f t="shared" si="23"/>
        <v>23.782689566876829</v>
      </c>
      <c r="L12" s="15">
        <f t="shared" si="23"/>
        <v>24.253262411347521</v>
      </c>
      <c r="M12" s="15">
        <f t="shared" si="23"/>
        <v>24.639563696996365</v>
      </c>
      <c r="N12" s="15">
        <f t="shared" si="23"/>
        <v>24.720215476775895</v>
      </c>
      <c r="O12" s="13">
        <v>25</v>
      </c>
      <c r="P12" s="13">
        <v>25</v>
      </c>
      <c r="Q12" s="13">
        <v>25</v>
      </c>
      <c r="R12" s="13">
        <v>26</v>
      </c>
      <c r="W12" s="15">
        <f t="shared" ref="W12:Y12" si="24">W8/W3</f>
        <v>92.584441251661033</v>
      </c>
      <c r="X12" s="15">
        <f t="shared" si="24"/>
        <v>97.434714711914978</v>
      </c>
      <c r="Y12" s="15">
        <f t="shared" si="24"/>
        <v>101.04944644380885</v>
      </c>
      <c r="Z12" s="15">
        <f>26*4</f>
        <v>104</v>
      </c>
      <c r="AA12" s="15">
        <f>Z12*1.03</f>
        <v>107.12</v>
      </c>
      <c r="AB12" s="15">
        <f t="shared" ref="AB12:AH12" si="25">AA12*1.03</f>
        <v>110.3336</v>
      </c>
      <c r="AC12" s="15">
        <f t="shared" si="25"/>
        <v>113.643608</v>
      </c>
      <c r="AD12" s="15">
        <f t="shared" si="25"/>
        <v>117.05291624</v>
      </c>
      <c r="AE12" s="15">
        <f t="shared" si="25"/>
        <v>120.56450372720001</v>
      </c>
      <c r="AF12" s="15">
        <f t="shared" si="25"/>
        <v>124.18143883901601</v>
      </c>
      <c r="AG12" s="15">
        <f t="shared" si="25"/>
        <v>127.9068820041865</v>
      </c>
      <c r="AH12" s="15">
        <f t="shared" si="25"/>
        <v>131.74408846431209</v>
      </c>
      <c r="AI12" s="15">
        <f>AH12*1.01</f>
        <v>133.06152934895522</v>
      </c>
      <c r="AJ12" s="15">
        <f t="shared" ref="AJ12:AM12" si="26">AI12*1.01</f>
        <v>134.39214464244478</v>
      </c>
      <c r="AK12" s="15">
        <f t="shared" si="26"/>
        <v>135.73606608886922</v>
      </c>
      <c r="AL12" s="15">
        <f t="shared" si="26"/>
        <v>137.09342674975792</v>
      </c>
      <c r="AM12" s="15">
        <f t="shared" si="26"/>
        <v>138.4643610172555</v>
      </c>
    </row>
    <row r="13" spans="2:39">
      <c r="B13" t="s">
        <v>85</v>
      </c>
      <c r="C13" s="13"/>
      <c r="D13" s="13"/>
      <c r="E13" s="13"/>
      <c r="F13" s="13"/>
      <c r="G13" s="15">
        <f t="shared" si="23"/>
        <v>21.061105416699519</v>
      </c>
      <c r="H13" s="15">
        <f t="shared" si="23"/>
        <v>22.278168248677634</v>
      </c>
      <c r="I13" s="15">
        <f t="shared" si="23"/>
        <v>21.81941551473837</v>
      </c>
      <c r="J13" s="15">
        <f t="shared" si="23"/>
        <v>21.217760026262518</v>
      </c>
      <c r="K13" s="15">
        <f t="shared" si="23"/>
        <v>19.89735115198544</v>
      </c>
      <c r="L13" s="15">
        <f t="shared" si="23"/>
        <v>19.558857683540491</v>
      </c>
      <c r="M13" s="15">
        <f t="shared" si="23"/>
        <v>19.889560164697734</v>
      </c>
      <c r="N13" s="15">
        <f t="shared" si="23"/>
        <v>18.865074606981079</v>
      </c>
      <c r="O13" s="13">
        <v>19</v>
      </c>
      <c r="P13" s="13">
        <v>19</v>
      </c>
      <c r="Q13" s="13">
        <v>19</v>
      </c>
      <c r="R13" s="13">
        <v>19</v>
      </c>
      <c r="W13" s="15">
        <f t="shared" ref="W13:Y13" si="27">W9/W4</f>
        <v>86.334961388687205</v>
      </c>
      <c r="X13" s="15">
        <f t="shared" si="27"/>
        <v>78.028939773714541</v>
      </c>
      <c r="Y13" s="15">
        <f t="shared" si="27"/>
        <v>76</v>
      </c>
      <c r="Z13" s="15">
        <v>75</v>
      </c>
      <c r="AA13" s="15">
        <f>Z13*1.03</f>
        <v>77.25</v>
      </c>
      <c r="AB13" s="15">
        <f t="shared" ref="AB13:AH13" si="28">AA13*1.03</f>
        <v>79.567499999999995</v>
      </c>
      <c r="AC13" s="15">
        <f t="shared" si="28"/>
        <v>81.954525000000004</v>
      </c>
      <c r="AD13" s="15">
        <f t="shared" si="28"/>
        <v>84.413160750000003</v>
      </c>
      <c r="AE13" s="15">
        <f t="shared" si="28"/>
        <v>86.945555572499998</v>
      </c>
      <c r="AF13" s="15">
        <f t="shared" si="28"/>
        <v>89.553922239675003</v>
      </c>
      <c r="AG13" s="15">
        <f t="shared" si="28"/>
        <v>92.240539906865251</v>
      </c>
      <c r="AH13" s="15">
        <f t="shared" si="28"/>
        <v>95.007756104071206</v>
      </c>
      <c r="AI13" s="15">
        <f>AH13*1.05</f>
        <v>99.758143909274764</v>
      </c>
      <c r="AJ13" s="15">
        <f t="shared" ref="AJ13:AM13" si="29">AI13*1.05</f>
        <v>104.74605110473851</v>
      </c>
      <c r="AK13" s="15">
        <f t="shared" si="29"/>
        <v>109.98335365997545</v>
      </c>
      <c r="AL13" s="15">
        <f t="shared" si="29"/>
        <v>115.48252134297422</v>
      </c>
      <c r="AM13" s="15">
        <f t="shared" si="29"/>
        <v>121.25664741012294</v>
      </c>
    </row>
    <row r="14" spans="2:39">
      <c r="B14" t="s">
        <v>83</v>
      </c>
      <c r="C14" s="13"/>
      <c r="D14" s="13"/>
      <c r="E14" s="13"/>
      <c r="F14" s="13"/>
      <c r="G14" s="15">
        <f t="shared" si="23"/>
        <v>30.72068550811786</v>
      </c>
      <c r="H14" s="15">
        <f t="shared" si="23"/>
        <v>31.100622903689505</v>
      </c>
      <c r="I14" s="15">
        <f t="shared" si="23"/>
        <v>31.172235215502841</v>
      </c>
      <c r="J14" s="15">
        <f t="shared" si="23"/>
        <v>31.123461071614358</v>
      </c>
      <c r="K14" s="15">
        <f t="shared" si="23"/>
        <v>31.128684399712434</v>
      </c>
      <c r="L14" s="15">
        <f t="shared" si="23"/>
        <v>30.865261573202861</v>
      </c>
      <c r="M14" s="15">
        <f t="shared" si="23"/>
        <v>31.13122529644269</v>
      </c>
      <c r="N14" s="15">
        <f t="shared" si="23"/>
        <v>30.790171288743885</v>
      </c>
      <c r="O14" s="15">
        <v>31</v>
      </c>
      <c r="P14" s="15">
        <v>31</v>
      </c>
      <c r="Q14" s="15">
        <v>31</v>
      </c>
      <c r="R14" s="15">
        <v>31</v>
      </c>
      <c r="W14" s="15">
        <f t="shared" ref="W14:Y14" si="30">W10/W5</f>
        <v>124.08351577069651</v>
      </c>
      <c r="X14" s="15">
        <f t="shared" si="30"/>
        <v>123.92994914115728</v>
      </c>
      <c r="Y14" s="15">
        <f t="shared" si="30"/>
        <v>124.00000000000003</v>
      </c>
      <c r="Z14" s="15">
        <f>31*4</f>
        <v>124</v>
      </c>
      <c r="AA14" s="15">
        <f t="shared" ref="AA14:AM14" si="31">31*4</f>
        <v>124</v>
      </c>
      <c r="AB14" s="15">
        <f t="shared" si="31"/>
        <v>124</v>
      </c>
      <c r="AC14" s="15">
        <f t="shared" si="31"/>
        <v>124</v>
      </c>
      <c r="AD14" s="15">
        <f t="shared" si="31"/>
        <v>124</v>
      </c>
      <c r="AE14" s="15">
        <f t="shared" si="31"/>
        <v>124</v>
      </c>
      <c r="AF14" s="15">
        <f t="shared" si="31"/>
        <v>124</v>
      </c>
      <c r="AG14" s="15">
        <f t="shared" si="31"/>
        <v>124</v>
      </c>
      <c r="AH14" s="15">
        <f t="shared" si="31"/>
        <v>124</v>
      </c>
      <c r="AI14" s="15">
        <f t="shared" si="31"/>
        <v>124</v>
      </c>
      <c r="AJ14" s="15">
        <f t="shared" si="31"/>
        <v>124</v>
      </c>
      <c r="AK14" s="15">
        <f t="shared" si="31"/>
        <v>124</v>
      </c>
      <c r="AL14" s="15">
        <f t="shared" si="31"/>
        <v>124</v>
      </c>
      <c r="AM14" s="15">
        <f t="shared" si="31"/>
        <v>124</v>
      </c>
    </row>
    <row r="15" spans="2:39">
      <c r="C15" s="13"/>
      <c r="D15" s="13"/>
      <c r="E15" s="13"/>
      <c r="F15" s="13"/>
      <c r="G15" s="15"/>
      <c r="H15" s="15"/>
      <c r="I15" s="15"/>
      <c r="J15" s="15"/>
      <c r="K15" s="15"/>
      <c r="L15" s="15"/>
      <c r="M15" s="15"/>
      <c r="N15" s="15"/>
      <c r="O15" s="5"/>
      <c r="P15" s="5"/>
      <c r="Q15" s="5"/>
      <c r="R15" s="5"/>
    </row>
    <row r="16" spans="2:39">
      <c r="B16" t="s">
        <v>80</v>
      </c>
      <c r="C16" s="13"/>
      <c r="D16" s="13"/>
      <c r="E16" s="13"/>
      <c r="F16" s="13"/>
      <c r="G16" s="15"/>
      <c r="H16" s="17"/>
      <c r="I16" s="17"/>
      <c r="J16" s="17"/>
      <c r="K16" s="17">
        <f t="shared" ref="K16:R18" si="32">K3/G3-1</f>
        <v>0.16042495935415135</v>
      </c>
      <c r="L16" s="17">
        <f t="shared" si="32"/>
        <v>0.16708972519589449</v>
      </c>
      <c r="M16" s="17">
        <f t="shared" si="32"/>
        <v>0.16018700126279573</v>
      </c>
      <c r="N16" s="17">
        <f t="shared" si="32"/>
        <v>0.14378483407475584</v>
      </c>
      <c r="O16" s="17">
        <f t="shared" si="32"/>
        <v>0.1399999999999999</v>
      </c>
      <c r="P16" s="17">
        <f t="shared" si="32"/>
        <v>0.12999999999999989</v>
      </c>
      <c r="Q16" s="17">
        <f t="shared" si="32"/>
        <v>0.14999999999999991</v>
      </c>
      <c r="R16" s="17">
        <f t="shared" si="32"/>
        <v>0.14999999999999991</v>
      </c>
      <c r="X16" s="11">
        <f>X3/W3-1</f>
        <v>0.15760433319168143</v>
      </c>
      <c r="Y16" s="11">
        <f t="shared" ref="Y16:AM16" si="33">Y3/X3-1</f>
        <v>0.1426582020324445</v>
      </c>
      <c r="Z16" s="11">
        <f t="shared" si="33"/>
        <v>0.10000000000000009</v>
      </c>
      <c r="AA16" s="11">
        <f t="shared" si="33"/>
        <v>0.10000000000000009</v>
      </c>
      <c r="AB16" s="11">
        <f t="shared" si="33"/>
        <v>0.10000000000000009</v>
      </c>
      <c r="AC16" s="11">
        <f t="shared" si="33"/>
        <v>0.10000000000000009</v>
      </c>
      <c r="AD16" s="11">
        <f t="shared" si="33"/>
        <v>5.0000000000000044E-2</v>
      </c>
      <c r="AE16" s="11">
        <f t="shared" si="33"/>
        <v>5.0000000000000044E-2</v>
      </c>
      <c r="AF16" s="11">
        <f t="shared" si="33"/>
        <v>5.0000000000000044E-2</v>
      </c>
      <c r="AG16" s="11">
        <f t="shared" si="33"/>
        <v>5.0000000000000044E-2</v>
      </c>
      <c r="AH16" s="11">
        <f t="shared" si="33"/>
        <v>5.0000000000000044E-2</v>
      </c>
      <c r="AI16" s="11">
        <f t="shared" si="33"/>
        <v>2.0000000000000018E-2</v>
      </c>
      <c r="AJ16" s="11">
        <f t="shared" si="33"/>
        <v>2.0000000000000018E-2</v>
      </c>
      <c r="AK16" s="11">
        <f t="shared" si="33"/>
        <v>2.0000000000000018E-2</v>
      </c>
      <c r="AL16" s="11">
        <f t="shared" si="33"/>
        <v>2.0000000000000018E-2</v>
      </c>
      <c r="AM16" s="11">
        <f t="shared" si="33"/>
        <v>2.0000000000000018E-2</v>
      </c>
    </row>
    <row r="17" spans="2:114">
      <c r="B17" t="s">
        <v>81</v>
      </c>
      <c r="C17" s="13"/>
      <c r="D17" s="13"/>
      <c r="E17" s="13"/>
      <c r="F17" s="13"/>
      <c r="G17" s="15"/>
      <c r="H17" s="17"/>
      <c r="I17" s="17"/>
      <c r="J17" s="17"/>
      <c r="K17" s="17">
        <f t="shared" si="32"/>
        <v>0.64606165733659227</v>
      </c>
      <c r="L17" s="17">
        <f t="shared" si="32"/>
        <v>0.68473299036301727</v>
      </c>
      <c r="M17" s="17">
        <f t="shared" si="32"/>
        <v>0.64028277472700856</v>
      </c>
      <c r="N17" s="17">
        <f t="shared" si="32"/>
        <v>0.64272035892104817</v>
      </c>
      <c r="O17" s="17">
        <f t="shared" si="32"/>
        <v>0.60000000000000009</v>
      </c>
      <c r="P17" s="17">
        <f t="shared" si="32"/>
        <v>0.55000000000000004</v>
      </c>
      <c r="Q17" s="17">
        <f t="shared" si="32"/>
        <v>0.60000000000000009</v>
      </c>
      <c r="R17" s="17">
        <f t="shared" si="32"/>
        <v>0.60000000000000009</v>
      </c>
      <c r="X17" s="11">
        <f>X4/W4-1</f>
        <v>0.65234967988911619</v>
      </c>
      <c r="Y17" s="11">
        <f t="shared" ref="Y17:AM17" si="34">Y4/X4-1</f>
        <v>0.58839063701454997</v>
      </c>
      <c r="Z17" s="11">
        <f t="shared" si="34"/>
        <v>0.5</v>
      </c>
      <c r="AA17" s="11">
        <f t="shared" si="34"/>
        <v>0.35000000000000009</v>
      </c>
      <c r="AB17" s="11">
        <f t="shared" si="34"/>
        <v>0.25</v>
      </c>
      <c r="AC17" s="11">
        <f t="shared" si="34"/>
        <v>0.19999999999999996</v>
      </c>
      <c r="AD17" s="11">
        <f t="shared" si="34"/>
        <v>0.10000000000000009</v>
      </c>
      <c r="AE17" s="11">
        <f t="shared" si="34"/>
        <v>0.10000000000000009</v>
      </c>
      <c r="AF17" s="11">
        <f t="shared" si="34"/>
        <v>0.10000000000000009</v>
      </c>
      <c r="AG17" s="11">
        <f t="shared" si="34"/>
        <v>0.10000000000000009</v>
      </c>
      <c r="AH17" s="11">
        <f t="shared" si="34"/>
        <v>0.10000000000000009</v>
      </c>
      <c r="AI17" s="11">
        <f t="shared" si="34"/>
        <v>2.0000000000000018E-2</v>
      </c>
      <c r="AJ17" s="11">
        <f t="shared" si="34"/>
        <v>2.0000000000000018E-2</v>
      </c>
      <c r="AK17" s="11">
        <f t="shared" si="34"/>
        <v>2.0000000000000018E-2</v>
      </c>
      <c r="AL17" s="11">
        <f t="shared" si="34"/>
        <v>2.0000000000000018E-2</v>
      </c>
      <c r="AM17" s="11">
        <f t="shared" si="34"/>
        <v>2.0000000000000018E-2</v>
      </c>
    </row>
    <row r="18" spans="2:114">
      <c r="B18" t="s">
        <v>82</v>
      </c>
      <c r="C18" s="13"/>
      <c r="D18" s="13"/>
      <c r="E18" s="13"/>
      <c r="F18" s="13"/>
      <c r="G18" s="15"/>
      <c r="H18" s="17"/>
      <c r="I18" s="17"/>
      <c r="J18" s="17"/>
      <c r="K18" s="17">
        <f t="shared" si="32"/>
        <v>-0.1635598316295851</v>
      </c>
      <c r="L18" s="17">
        <f t="shared" si="32"/>
        <v>-0.15125379332375022</v>
      </c>
      <c r="M18" s="17">
        <f t="shared" si="32"/>
        <v>-0.15469428666889407</v>
      </c>
      <c r="N18" s="17">
        <f t="shared" si="32"/>
        <v>-0.14964452921796434</v>
      </c>
      <c r="O18" s="17">
        <f t="shared" si="32"/>
        <v>-0.15000000000000002</v>
      </c>
      <c r="P18" s="17">
        <f t="shared" si="32"/>
        <v>-0.15000000000000002</v>
      </c>
      <c r="Q18" s="17">
        <f t="shared" si="32"/>
        <v>-0.15000000000000013</v>
      </c>
      <c r="R18" s="17">
        <f t="shared" si="32"/>
        <v>-0.14999999999999991</v>
      </c>
      <c r="X18" s="11">
        <f>X5/W5-1</f>
        <v>-0.15503121705992062</v>
      </c>
      <c r="Y18" s="11">
        <f t="shared" ref="Y18:AM18" si="35">Y5/X5-1</f>
        <v>-0.15000000000000002</v>
      </c>
      <c r="Z18" s="11">
        <f t="shared" si="35"/>
        <v>-0.15000000000000002</v>
      </c>
      <c r="AA18" s="11">
        <f t="shared" si="35"/>
        <v>-0.15000000000000002</v>
      </c>
      <c r="AB18" s="11">
        <f t="shared" si="35"/>
        <v>-0.15000000000000002</v>
      </c>
      <c r="AC18" s="11">
        <f t="shared" si="35"/>
        <v>-0.15000000000000002</v>
      </c>
      <c r="AD18" s="11">
        <f t="shared" si="35"/>
        <v>-0.15000000000000002</v>
      </c>
      <c r="AE18" s="11">
        <f t="shared" si="35"/>
        <v>-0.15000000000000002</v>
      </c>
      <c r="AF18" s="11">
        <f t="shared" si="35"/>
        <v>-0.14999999999999991</v>
      </c>
      <c r="AG18" s="11">
        <f t="shared" si="35"/>
        <v>-0.15000000000000002</v>
      </c>
      <c r="AH18" s="11">
        <f t="shared" si="35"/>
        <v>-0.15000000000000013</v>
      </c>
      <c r="AI18" s="11">
        <f t="shared" si="35"/>
        <v>-0.15000000000000002</v>
      </c>
      <c r="AJ18" s="11">
        <f t="shared" si="35"/>
        <v>-0.15000000000000002</v>
      </c>
      <c r="AK18" s="11">
        <f t="shared" si="35"/>
        <v>-0.15000000000000002</v>
      </c>
      <c r="AL18" s="11">
        <f t="shared" si="35"/>
        <v>-0.15000000000000002</v>
      </c>
      <c r="AM18" s="11">
        <f t="shared" si="35"/>
        <v>-0.15000000000000002</v>
      </c>
    </row>
    <row r="19" spans="2:114">
      <c r="C19" s="13"/>
      <c r="D19" s="13"/>
      <c r="E19" s="13"/>
      <c r="F19" s="13"/>
      <c r="G19" s="13"/>
      <c r="H19" s="13"/>
      <c r="I19" s="13"/>
      <c r="J19" s="13"/>
      <c r="K19" s="15"/>
      <c r="L19" s="13"/>
      <c r="M19" s="13"/>
      <c r="N19" s="13"/>
      <c r="O19" s="5"/>
      <c r="P19" s="5"/>
      <c r="Q19" s="5"/>
      <c r="R19" s="5"/>
    </row>
    <row r="20" spans="2:114" s="1" customFormat="1">
      <c r="B20" s="1" t="s">
        <v>11</v>
      </c>
      <c r="C20" s="7">
        <v>1023.961</v>
      </c>
      <c r="D20" s="7">
        <v>1069.3720000000001</v>
      </c>
      <c r="E20" s="7">
        <v>1105.999</v>
      </c>
      <c r="F20" s="7">
        <v>1175.23</v>
      </c>
      <c r="G20" s="7">
        <f t="shared" ref="G20:N20" si="36">G8+G9+G10</f>
        <v>1270.0889999999999</v>
      </c>
      <c r="H20" s="7">
        <f t="shared" si="36"/>
        <v>1340.4070000000002</v>
      </c>
      <c r="I20" s="7">
        <f t="shared" si="36"/>
        <v>1409.432</v>
      </c>
      <c r="J20" s="7">
        <f t="shared" si="36"/>
        <v>1484.7280000000001</v>
      </c>
      <c r="K20" s="7">
        <f t="shared" si="36"/>
        <v>1573.1290000000001</v>
      </c>
      <c r="L20" s="7">
        <f t="shared" si="36"/>
        <v>1644.694</v>
      </c>
      <c r="M20" s="7">
        <f t="shared" si="36"/>
        <v>1738.355</v>
      </c>
      <c r="N20" s="7">
        <f t="shared" si="36"/>
        <v>1823.3330000000001</v>
      </c>
      <c r="O20" s="7">
        <f t="shared" ref="O20:R20" si="37">O8+O9+O10</f>
        <v>1961.0866999999996</v>
      </c>
      <c r="P20" s="7">
        <f t="shared" si="37"/>
        <v>2019.7408499999999</v>
      </c>
      <c r="Q20" s="7">
        <f t="shared" si="37"/>
        <v>2164.78955</v>
      </c>
      <c r="R20" s="7">
        <f t="shared" si="37"/>
        <v>2379.6161999999999</v>
      </c>
      <c r="T20" s="7">
        <v>3204.5770000000002</v>
      </c>
      <c r="U20" s="7">
        <v>3609.2820000000002</v>
      </c>
      <c r="V20" s="7">
        <f>SUM(C20:F20)</f>
        <v>4374.5619999999999</v>
      </c>
      <c r="W20" s="7">
        <f>SUM(G20:J20)</f>
        <v>5504.6559999999999</v>
      </c>
      <c r="X20" s="7">
        <f>SUM(K20:N20)</f>
        <v>6779.5110000000004</v>
      </c>
      <c r="Y20" s="7">
        <f>SUM(O20:R20)</f>
        <v>8525.2332999999999</v>
      </c>
      <c r="Z20" s="7">
        <f t="shared" ref="Z20:AM20" si="38">Z8+Z9+Z10</f>
        <v>10548.782074250001</v>
      </c>
      <c r="AA20" s="7">
        <f t="shared" si="38"/>
        <v>12971.604486862125</v>
      </c>
      <c r="AB20" s="7">
        <f t="shared" si="38"/>
        <v>15545.60164309961</v>
      </c>
      <c r="AC20" s="7">
        <f t="shared" si="38"/>
        <v>18342.633228786181</v>
      </c>
      <c r="AD20" s="7">
        <f t="shared" si="38"/>
        <v>20280.988386271176</v>
      </c>
      <c r="AE20" s="7">
        <f t="shared" si="38"/>
        <v>22455.077376280187</v>
      </c>
      <c r="AF20" s="7">
        <f t="shared" si="38"/>
        <v>24891.637061541016</v>
      </c>
      <c r="AG20" s="7">
        <f t="shared" si="38"/>
        <v>27621.006711501788</v>
      </c>
      <c r="AH20" s="7">
        <f t="shared" si="38"/>
        <v>30677.547516367511</v>
      </c>
      <c r="AI20" s="7">
        <f t="shared" si="38"/>
        <v>32335.13674605242</v>
      </c>
      <c r="AJ20" s="7">
        <f t="shared" si="38"/>
        <v>34099.760884326199</v>
      </c>
      <c r="AK20" s="7">
        <f t="shared" si="38"/>
        <v>35977.93780972236</v>
      </c>
      <c r="AL20" s="7">
        <f t="shared" si="38"/>
        <v>37976.729483539406</v>
      </c>
      <c r="AM20" s="7">
        <f t="shared" si="38"/>
        <v>40103.765938725235</v>
      </c>
    </row>
    <row r="21" spans="2:114">
      <c r="B21" t="s">
        <v>27</v>
      </c>
      <c r="C21" s="6">
        <v>736.952</v>
      </c>
      <c r="D21" s="6">
        <v>760.67399999999998</v>
      </c>
      <c r="E21" s="6">
        <v>798.9</v>
      </c>
      <c r="F21" s="6">
        <v>820.67700000000002</v>
      </c>
      <c r="G21" s="6">
        <v>869.18600000000004</v>
      </c>
      <c r="H21" s="6">
        <v>914.84799999999996</v>
      </c>
      <c r="I21" s="6">
        <v>954.39400000000001</v>
      </c>
      <c r="J21" s="6">
        <v>1014.332</v>
      </c>
      <c r="K21" s="6">
        <v>1046.4010000000001</v>
      </c>
      <c r="L21" s="6">
        <v>1121.752</v>
      </c>
      <c r="M21" s="6">
        <v>1173.9580000000001</v>
      </c>
      <c r="N21" s="6">
        <v>1249.3699999999999</v>
      </c>
      <c r="O21" s="6">
        <f t="shared" ref="O21:R21" si="39">O20-O22</f>
        <v>1313.9280889999995</v>
      </c>
      <c r="P21" s="6">
        <f t="shared" si="39"/>
        <v>1353.2263694999999</v>
      </c>
      <c r="Q21" s="6">
        <f t="shared" si="39"/>
        <v>1450.4089985000001</v>
      </c>
      <c r="R21" s="6">
        <f t="shared" si="39"/>
        <v>1594.342854</v>
      </c>
      <c r="T21" s="6">
        <v>2039.9010000000001</v>
      </c>
      <c r="U21" s="6">
        <v>2625.866</v>
      </c>
      <c r="V21" s="10">
        <f>SUM(C21:F21)</f>
        <v>3117.203</v>
      </c>
      <c r="W21" s="10">
        <f>SUM(G21:J21)</f>
        <v>3752.7599999999998</v>
      </c>
      <c r="X21" s="10">
        <f>SUM(K21:N21)</f>
        <v>4591.4809999999998</v>
      </c>
      <c r="Y21" s="10">
        <f>SUM(O21:R21)</f>
        <v>5711.9063109999988</v>
      </c>
      <c r="Z21" s="6">
        <f t="shared" ref="Z21:AM21" si="40">Z20-Z22</f>
        <v>6962.1961690050002</v>
      </c>
      <c r="AA21" s="6">
        <f t="shared" si="40"/>
        <v>8561.258961329002</v>
      </c>
      <c r="AB21" s="6">
        <f t="shared" si="40"/>
        <v>10260.097084445742</v>
      </c>
      <c r="AC21" s="6">
        <f t="shared" si="40"/>
        <v>11922.711598711017</v>
      </c>
      <c r="AD21" s="6">
        <f t="shared" si="40"/>
        <v>13182.642451076264</v>
      </c>
      <c r="AE21" s="6">
        <f t="shared" si="40"/>
        <v>14595.800294582123</v>
      </c>
      <c r="AF21" s="6">
        <f t="shared" si="40"/>
        <v>16179.564090001661</v>
      </c>
      <c r="AG21" s="6">
        <f t="shared" si="40"/>
        <v>17953.654362476162</v>
      </c>
      <c r="AH21" s="6">
        <f t="shared" si="40"/>
        <v>19940.40588563888</v>
      </c>
      <c r="AI21" s="6">
        <f t="shared" si="40"/>
        <v>20694.48751747355</v>
      </c>
      <c r="AJ21" s="6">
        <f t="shared" si="40"/>
        <v>21823.846965968769</v>
      </c>
      <c r="AK21" s="6">
        <f t="shared" si="40"/>
        <v>23025.880198222309</v>
      </c>
      <c r="AL21" s="6">
        <f t="shared" si="40"/>
        <v>24305.10686946522</v>
      </c>
      <c r="AM21" s="6">
        <f t="shared" si="40"/>
        <v>25666.41020078415</v>
      </c>
    </row>
    <row r="22" spans="2:114" s="1" customFormat="1">
      <c r="B22" s="1" t="s">
        <v>28</v>
      </c>
      <c r="C22" s="7">
        <f t="shared" ref="C22:N22" si="41">C20-C21</f>
        <v>287.00900000000001</v>
      </c>
      <c r="D22" s="7">
        <f t="shared" si="41"/>
        <v>308.69800000000009</v>
      </c>
      <c r="E22" s="7">
        <f t="shared" si="41"/>
        <v>307.09900000000005</v>
      </c>
      <c r="F22" s="7">
        <f t="shared" si="41"/>
        <v>354.553</v>
      </c>
      <c r="G22" s="7">
        <f t="shared" si="41"/>
        <v>400.90299999999991</v>
      </c>
      <c r="H22" s="7">
        <f t="shared" si="41"/>
        <v>425.5590000000002</v>
      </c>
      <c r="I22" s="7">
        <f t="shared" si="41"/>
        <v>455.03800000000001</v>
      </c>
      <c r="J22" s="7">
        <f t="shared" si="41"/>
        <v>470.39600000000007</v>
      </c>
      <c r="K22" s="7">
        <f t="shared" si="41"/>
        <v>526.72800000000007</v>
      </c>
      <c r="L22" s="7">
        <f t="shared" si="41"/>
        <v>522.94200000000001</v>
      </c>
      <c r="M22" s="7">
        <f t="shared" si="41"/>
        <v>564.39699999999993</v>
      </c>
      <c r="N22" s="7">
        <f t="shared" si="41"/>
        <v>573.96300000000019</v>
      </c>
      <c r="O22" s="7">
        <f>O20*0.33</f>
        <v>647.15861099999995</v>
      </c>
      <c r="P22" s="7">
        <f t="shared" ref="P22:R22" si="42">P20*0.33</f>
        <v>666.51448049999999</v>
      </c>
      <c r="Q22" s="7">
        <f t="shared" si="42"/>
        <v>714.38055150000002</v>
      </c>
      <c r="R22" s="7">
        <f t="shared" si="42"/>
        <v>785.27334600000006</v>
      </c>
      <c r="T22" s="7">
        <f>T20-T21</f>
        <v>1164.6760000000002</v>
      </c>
      <c r="U22" s="7">
        <f>U20-U21</f>
        <v>983.41600000000017</v>
      </c>
      <c r="V22" s="7">
        <f>V20-V21</f>
        <v>1257.3589999999999</v>
      </c>
      <c r="W22" s="7">
        <f>W20-W21</f>
        <v>1751.8960000000002</v>
      </c>
      <c r="X22" s="7">
        <f>X20-X21</f>
        <v>2188.0300000000007</v>
      </c>
      <c r="Y22" s="7">
        <f>Y20*0.33</f>
        <v>2813.3269890000001</v>
      </c>
      <c r="Z22" s="7">
        <f>Z20*0.34</f>
        <v>3586.5859052450005</v>
      </c>
      <c r="AA22" s="7">
        <f>AA20*0.34</f>
        <v>4410.3455255331228</v>
      </c>
      <c r="AB22" s="7">
        <f>AB20*0.34</f>
        <v>5285.5045586538672</v>
      </c>
      <c r="AC22" s="7">
        <f>AC20*0.35</f>
        <v>6419.9216300751632</v>
      </c>
      <c r="AD22" s="7">
        <f t="shared" ref="AD22:AH22" si="43">AD20*0.35</f>
        <v>7098.3459351949114</v>
      </c>
      <c r="AE22" s="7">
        <f t="shared" si="43"/>
        <v>7859.2770816980646</v>
      </c>
      <c r="AF22" s="7">
        <f t="shared" si="43"/>
        <v>8712.0729715393554</v>
      </c>
      <c r="AG22" s="7">
        <f t="shared" si="43"/>
        <v>9667.3523490256248</v>
      </c>
      <c r="AH22" s="7">
        <f t="shared" si="43"/>
        <v>10737.141630728629</v>
      </c>
      <c r="AI22" s="7">
        <f>AI20*0.36</f>
        <v>11640.64922857887</v>
      </c>
      <c r="AJ22" s="7">
        <f t="shared" ref="AJ22:AM22" si="44">AJ20*0.36</f>
        <v>12275.913918357432</v>
      </c>
      <c r="AK22" s="7">
        <f t="shared" si="44"/>
        <v>12952.057611500049</v>
      </c>
      <c r="AL22" s="7">
        <f t="shared" si="44"/>
        <v>13671.622614074186</v>
      </c>
      <c r="AM22" s="7">
        <f t="shared" si="44"/>
        <v>14437.355737941085</v>
      </c>
    </row>
    <row r="23" spans="2:114">
      <c r="B23" t="s">
        <v>30</v>
      </c>
      <c r="C23" s="6">
        <v>119.086</v>
      </c>
      <c r="D23" s="6">
        <v>114.611</v>
      </c>
      <c r="E23" s="6">
        <v>108.22799999999999</v>
      </c>
      <c r="F23" s="6">
        <v>128.017</v>
      </c>
      <c r="G23" s="6">
        <v>137.09800000000001</v>
      </c>
      <c r="H23" s="6">
        <v>120.76300000000001</v>
      </c>
      <c r="I23" s="6">
        <v>145.654</v>
      </c>
      <c r="J23" s="6">
        <v>203.67099999999999</v>
      </c>
      <c r="K23" s="6">
        <v>194.67699999999999</v>
      </c>
      <c r="L23" s="6">
        <v>197.14</v>
      </c>
      <c r="M23" s="6">
        <v>208.102</v>
      </c>
      <c r="N23" s="6">
        <v>224.17</v>
      </c>
      <c r="O23" s="6">
        <f>O20*0.12</f>
        <v>235.33040399999993</v>
      </c>
      <c r="P23" s="6">
        <f t="shared" ref="P23:R23" si="45">P20*0.12</f>
        <v>242.36890199999999</v>
      </c>
      <c r="Q23" s="6">
        <f t="shared" si="45"/>
        <v>259.77474599999999</v>
      </c>
      <c r="R23" s="6">
        <f t="shared" si="45"/>
        <v>285.553944</v>
      </c>
      <c r="T23" s="6">
        <v>402.63799999999998</v>
      </c>
      <c r="U23" s="6">
        <v>484.72899999999998</v>
      </c>
      <c r="V23" s="10">
        <f>SUM(C23:F23)</f>
        <v>469.94200000000001</v>
      </c>
      <c r="W23" s="10">
        <f>SUM(G23:J23)</f>
        <v>607.18599999999992</v>
      </c>
      <c r="X23" s="10">
        <f>SUM(K23:N23)</f>
        <v>824.08899999999994</v>
      </c>
      <c r="Y23" s="10">
        <f>SUM(O23:R23)</f>
        <v>1023.0279959999999</v>
      </c>
      <c r="Z23" s="6">
        <f>Z20*0.12</f>
        <v>1265.8538489100001</v>
      </c>
      <c r="AA23" s="6">
        <f>AA20*0.11</f>
        <v>1426.8764935548338</v>
      </c>
      <c r="AB23" s="6">
        <f>AB20*0.1</f>
        <v>1554.560164309961</v>
      </c>
      <c r="AC23" s="6">
        <f>AC20*0.09</f>
        <v>1650.8369905907562</v>
      </c>
      <c r="AD23" s="6">
        <f>AD20*0.08</f>
        <v>1622.4790709016941</v>
      </c>
      <c r="AE23" s="6">
        <f t="shared" ref="AE23:AM23" si="46">AE20*0.08</f>
        <v>1796.4061901024149</v>
      </c>
      <c r="AF23" s="6">
        <f t="shared" si="46"/>
        <v>1991.3309649232813</v>
      </c>
      <c r="AG23" s="6">
        <f t="shared" si="46"/>
        <v>2209.6805369201429</v>
      </c>
      <c r="AH23" s="6">
        <f t="shared" si="46"/>
        <v>2454.2038013094011</v>
      </c>
      <c r="AI23" s="6">
        <f t="shared" si="46"/>
        <v>2586.8109396841937</v>
      </c>
      <c r="AJ23" s="6">
        <f t="shared" si="46"/>
        <v>2727.9808707460961</v>
      </c>
      <c r="AK23" s="6">
        <f t="shared" si="46"/>
        <v>2878.235024777789</v>
      </c>
      <c r="AL23" s="6">
        <f t="shared" si="46"/>
        <v>3038.1383586831525</v>
      </c>
      <c r="AM23" s="6">
        <f t="shared" si="46"/>
        <v>3208.3012750980188</v>
      </c>
    </row>
    <row r="24" spans="2:114">
      <c r="B24" t="s">
        <v>29</v>
      </c>
      <c r="C24" s="6">
        <v>91.974999999999994</v>
      </c>
      <c r="D24" s="6">
        <v>93.126000000000005</v>
      </c>
      <c r="E24" s="6">
        <v>95.54</v>
      </c>
      <c r="F24" s="6">
        <v>98.128</v>
      </c>
      <c r="G24" s="6">
        <v>110.31</v>
      </c>
      <c r="H24" s="6">
        <v>115.182</v>
      </c>
      <c r="I24" s="6">
        <v>120.953</v>
      </c>
      <c r="J24" s="6">
        <v>125.876</v>
      </c>
      <c r="K24" s="6">
        <v>143.10599999999999</v>
      </c>
      <c r="L24" s="6">
        <v>155.06100000000001</v>
      </c>
      <c r="M24" s="6">
        <v>171.762</v>
      </c>
      <c r="N24" s="6">
        <v>180.86</v>
      </c>
      <c r="O24" s="6">
        <f>O20*0.1</f>
        <v>196.10866999999996</v>
      </c>
      <c r="P24" s="6">
        <f t="shared" ref="P24:R24" si="47">P20*0.1</f>
        <v>201.974085</v>
      </c>
      <c r="Q24" s="6">
        <f t="shared" si="47"/>
        <v>216.47895500000001</v>
      </c>
      <c r="R24" s="6">
        <f t="shared" si="47"/>
        <v>237.96162000000001</v>
      </c>
      <c r="T24" s="6">
        <v>259.03300000000002</v>
      </c>
      <c r="U24" s="6">
        <v>329.00799999999998</v>
      </c>
      <c r="V24" s="10">
        <f>SUM(C24:F24)</f>
        <v>378.76900000000001</v>
      </c>
      <c r="W24" s="10">
        <f>SUM(G24:J24)</f>
        <v>472.32100000000003</v>
      </c>
      <c r="X24" s="10">
        <f>SUM(K24:N24)</f>
        <v>650.78899999999999</v>
      </c>
      <c r="Y24" s="10">
        <f>SUM(O24:R24)</f>
        <v>852.52332999999999</v>
      </c>
      <c r="Z24" s="21">
        <f>Z20*0.09</f>
        <v>949.39038668249998</v>
      </c>
      <c r="AA24" s="21">
        <f t="shared" ref="AA24:AC24" si="48">AA20*0.09</f>
        <v>1167.4444038175911</v>
      </c>
      <c r="AB24" s="21">
        <f t="shared" si="48"/>
        <v>1399.1041478789648</v>
      </c>
      <c r="AC24" s="21">
        <f t="shared" si="48"/>
        <v>1650.8369905907562</v>
      </c>
      <c r="AD24" s="21">
        <f>AD20*0.08</f>
        <v>1622.4790709016941</v>
      </c>
      <c r="AE24" s="21">
        <f t="shared" ref="AE24:AM24" si="49">AE20*0.08</f>
        <v>1796.4061901024149</v>
      </c>
      <c r="AF24" s="21">
        <f t="shared" si="49"/>
        <v>1991.3309649232813</v>
      </c>
      <c r="AG24" s="21">
        <f t="shared" si="49"/>
        <v>2209.6805369201429</v>
      </c>
      <c r="AH24" s="21">
        <f t="shared" si="49"/>
        <v>2454.2038013094011</v>
      </c>
      <c r="AI24" s="21">
        <f t="shared" si="49"/>
        <v>2586.8109396841937</v>
      </c>
      <c r="AJ24" s="21">
        <f t="shared" si="49"/>
        <v>2727.9808707460961</v>
      </c>
      <c r="AK24" s="21">
        <f t="shared" si="49"/>
        <v>2878.235024777789</v>
      </c>
      <c r="AL24" s="21">
        <f t="shared" si="49"/>
        <v>3038.1383586831525</v>
      </c>
      <c r="AM24" s="21">
        <f t="shared" si="49"/>
        <v>3208.3012750980188</v>
      </c>
      <c r="AO24" t="s">
        <v>93</v>
      </c>
    </row>
    <row r="25" spans="2:114">
      <c r="B25" t="s">
        <v>31</v>
      </c>
      <c r="C25" s="6">
        <v>44.125999999999998</v>
      </c>
      <c r="D25" s="6">
        <v>43.844000000000001</v>
      </c>
      <c r="E25" s="6">
        <v>46.210999999999999</v>
      </c>
      <c r="F25" s="6">
        <v>46.12</v>
      </c>
      <c r="G25" s="6">
        <v>55.9</v>
      </c>
      <c r="H25" s="6">
        <v>60.014000000000003</v>
      </c>
      <c r="I25" s="6">
        <v>78.024000000000001</v>
      </c>
      <c r="J25" s="6">
        <v>75.802999999999997</v>
      </c>
      <c r="K25" s="6">
        <v>91.489000000000004</v>
      </c>
      <c r="L25" s="6">
        <v>95.906000000000006</v>
      </c>
      <c r="M25" s="6">
        <v>110.892</v>
      </c>
      <c r="N25" s="6">
        <v>109.042</v>
      </c>
      <c r="O25" s="6">
        <f>O20*0.06</f>
        <v>117.66520199999997</v>
      </c>
      <c r="P25" s="6">
        <f t="shared" ref="P25:R25" si="50">P20*0.06</f>
        <v>121.184451</v>
      </c>
      <c r="Q25" s="6">
        <f t="shared" si="50"/>
        <v>129.887373</v>
      </c>
      <c r="R25" s="6">
        <f t="shared" si="50"/>
        <v>142.776972</v>
      </c>
      <c r="T25" s="6">
        <v>126.937</v>
      </c>
      <c r="U25" s="6">
        <v>119.687</v>
      </c>
      <c r="V25" s="10">
        <f>SUM(C25:F25)</f>
        <v>180.30099999999999</v>
      </c>
      <c r="W25" s="10">
        <f>SUM(G25:J25)</f>
        <v>269.74099999999999</v>
      </c>
      <c r="X25" s="10">
        <f>SUM(K25:N25)</f>
        <v>407.32900000000006</v>
      </c>
      <c r="Y25" s="10">
        <f>SUM(O25:R25)</f>
        <v>511.51399799999996</v>
      </c>
      <c r="Z25" s="21">
        <f>Z20*0.06</f>
        <v>632.92692445500006</v>
      </c>
      <c r="AA25" s="21">
        <f t="shared" ref="AA25:AM25" si="51">AA20*0.06</f>
        <v>778.29626921172746</v>
      </c>
      <c r="AB25" s="21">
        <f t="shared" si="51"/>
        <v>932.73609858597649</v>
      </c>
      <c r="AC25" s="21">
        <f t="shared" si="51"/>
        <v>1100.5579937271707</v>
      </c>
      <c r="AD25" s="21">
        <f t="shared" si="51"/>
        <v>1216.8593031762705</v>
      </c>
      <c r="AE25" s="21">
        <f t="shared" si="51"/>
        <v>1347.3046425768111</v>
      </c>
      <c r="AF25" s="21">
        <f t="shared" si="51"/>
        <v>1493.4982236924609</v>
      </c>
      <c r="AG25" s="21">
        <f t="shared" si="51"/>
        <v>1657.2604026901072</v>
      </c>
      <c r="AH25" s="21">
        <f t="shared" si="51"/>
        <v>1840.6528509820505</v>
      </c>
      <c r="AI25" s="21">
        <f t="shared" si="51"/>
        <v>1940.1082047631451</v>
      </c>
      <c r="AJ25" s="21">
        <f t="shared" si="51"/>
        <v>2045.9856530595719</v>
      </c>
      <c r="AK25" s="21">
        <f t="shared" si="51"/>
        <v>2158.6762685833414</v>
      </c>
      <c r="AL25" s="21">
        <f t="shared" si="51"/>
        <v>2278.6037690123644</v>
      </c>
      <c r="AM25" s="21">
        <f t="shared" si="51"/>
        <v>2406.2259563235139</v>
      </c>
    </row>
    <row r="26" spans="2:114" s="1" customFormat="1">
      <c r="B26" s="1" t="s">
        <v>32</v>
      </c>
      <c r="C26" s="7">
        <f t="shared" ref="C26:N26" si="52">C22-C23-C24-C25</f>
        <v>31.82200000000001</v>
      </c>
      <c r="D26" s="7">
        <f t="shared" si="52"/>
        <v>57.117000000000097</v>
      </c>
      <c r="E26" s="7">
        <f t="shared" si="52"/>
        <v>57.120000000000033</v>
      </c>
      <c r="F26" s="7">
        <f t="shared" si="52"/>
        <v>82.288000000000011</v>
      </c>
      <c r="G26" s="7">
        <f t="shared" si="52"/>
        <v>97.594999999999885</v>
      </c>
      <c r="H26" s="7">
        <f t="shared" si="52"/>
        <v>129.60000000000014</v>
      </c>
      <c r="I26" s="7">
        <f t="shared" si="52"/>
        <v>110.40700000000001</v>
      </c>
      <c r="J26" s="7">
        <f t="shared" si="52"/>
        <v>65.046000000000078</v>
      </c>
      <c r="K26" s="7">
        <f t="shared" si="52"/>
        <v>97.456000000000046</v>
      </c>
      <c r="L26" s="7">
        <f t="shared" si="52"/>
        <v>74.835000000000008</v>
      </c>
      <c r="M26" s="7">
        <f t="shared" si="52"/>
        <v>73.640999999999963</v>
      </c>
      <c r="N26" s="7">
        <f t="shared" si="52"/>
        <v>59.891000000000219</v>
      </c>
      <c r="O26" s="7">
        <f t="shared" ref="O26" si="53">O22-O23-O24-O25</f>
        <v>98.054335000000094</v>
      </c>
      <c r="P26" s="7">
        <f t="shared" ref="P26" si="54">P22-P23-P24-P25</f>
        <v>100.9870425</v>
      </c>
      <c r="Q26" s="7">
        <f t="shared" ref="Q26" si="55">Q22-Q23-Q24-Q25</f>
        <v>108.23947750000002</v>
      </c>
      <c r="R26" s="7">
        <f t="shared" ref="R26" si="56">R22-R23-R24-R25</f>
        <v>118.98081000000002</v>
      </c>
      <c r="T26" s="7">
        <f>T22-T23-T24-T25</f>
        <v>376.06800000000021</v>
      </c>
      <c r="U26" s="7">
        <f>U22-U23-U24-U25</f>
        <v>49.992000000000203</v>
      </c>
      <c r="V26" s="7">
        <f>V22-V23-V24-V25</f>
        <v>228.34699999999992</v>
      </c>
      <c r="W26" s="7">
        <f>W22-W23-W24-W25</f>
        <v>402.64800000000025</v>
      </c>
      <c r="X26" s="7">
        <f>X22-X23-X24-X25</f>
        <v>305.82300000000066</v>
      </c>
      <c r="Y26" s="7">
        <f t="shared" ref="Y26:AM26" si="57">Y22-Y23-Y24-Y25</f>
        <v>426.26166500000039</v>
      </c>
      <c r="Z26" s="7">
        <f t="shared" si="57"/>
        <v>738.41474519750045</v>
      </c>
      <c r="AA26" s="7">
        <f t="shared" si="57"/>
        <v>1037.7283589489703</v>
      </c>
      <c r="AB26" s="7">
        <f t="shared" si="57"/>
        <v>1399.1041478789653</v>
      </c>
      <c r="AC26" s="7">
        <f t="shared" si="57"/>
        <v>2017.6896551664797</v>
      </c>
      <c r="AD26" s="7">
        <f t="shared" si="57"/>
        <v>2636.5284902152525</v>
      </c>
      <c r="AE26" s="7">
        <f t="shared" si="57"/>
        <v>2919.1600589164232</v>
      </c>
      <c r="AF26" s="7">
        <f t="shared" si="57"/>
        <v>3235.9128180003318</v>
      </c>
      <c r="AG26" s="7">
        <f t="shared" si="57"/>
        <v>3590.7308724952318</v>
      </c>
      <c r="AH26" s="7">
        <f t="shared" si="57"/>
        <v>3988.0811771277772</v>
      </c>
      <c r="AI26" s="7">
        <f t="shared" si="57"/>
        <v>4526.9191444473372</v>
      </c>
      <c r="AJ26" s="7">
        <f t="shared" si="57"/>
        <v>4773.9665238056677</v>
      </c>
      <c r="AK26" s="7">
        <f t="shared" si="57"/>
        <v>5036.9112933611304</v>
      </c>
      <c r="AL26" s="7">
        <f t="shared" si="57"/>
        <v>5316.7421276955156</v>
      </c>
      <c r="AM26" s="7">
        <f t="shared" si="57"/>
        <v>5614.5272314215326</v>
      </c>
    </row>
    <row r="27" spans="2:114">
      <c r="B27" t="s">
        <v>33</v>
      </c>
      <c r="C27" s="6">
        <f>6.74+25.129</f>
        <v>31.869</v>
      </c>
      <c r="D27" s="6">
        <v>7.5279999999999996</v>
      </c>
      <c r="E27" s="6">
        <v>7.4359999999999999</v>
      </c>
      <c r="F27" s="6">
        <v>7.4379999999999997</v>
      </c>
      <c r="G27" s="6">
        <v>10.052</v>
      </c>
      <c r="H27" s="6">
        <v>13.327999999999999</v>
      </c>
      <c r="I27" s="6">
        <v>13.486000000000001</v>
      </c>
      <c r="J27" s="6">
        <v>13.353</v>
      </c>
      <c r="K27" s="6">
        <v>26.736999999999998</v>
      </c>
      <c r="L27" s="6">
        <v>35.216999999999999</v>
      </c>
      <c r="M27" s="6">
        <v>35.332999999999998</v>
      </c>
      <c r="N27" s="6">
        <v>35.429000000000002</v>
      </c>
      <c r="O27" s="6">
        <f>N27*1.01</f>
        <v>35.783290000000001</v>
      </c>
      <c r="P27" s="6">
        <f t="shared" ref="P27:R27" si="58">O27*1.01</f>
        <v>36.141122899999999</v>
      </c>
      <c r="Q27" s="6">
        <f t="shared" si="58"/>
        <v>36.502534128999997</v>
      </c>
      <c r="R27" s="6">
        <f t="shared" si="58"/>
        <v>36.867559470289997</v>
      </c>
      <c r="T27" s="6">
        <v>20.024999999999999</v>
      </c>
      <c r="U27" s="6">
        <v>19.986000000000001</v>
      </c>
      <c r="V27" s="10">
        <f>SUM(C27:F27)</f>
        <v>54.271000000000001</v>
      </c>
      <c r="W27" s="10">
        <f>SUM(G27:J27)</f>
        <v>50.219000000000001</v>
      </c>
      <c r="X27" s="10">
        <f>SUM(K27:N27)</f>
        <v>132.71600000000001</v>
      </c>
      <c r="Y27" s="10">
        <f>SUM(O27:R27)</f>
        <v>145.29450649928998</v>
      </c>
      <c r="Z27" s="6">
        <f>Y27*1.01</f>
        <v>146.74745156428287</v>
      </c>
      <c r="AA27" s="6">
        <f t="shared" ref="AA27:AM27" si="59">Z27*1.01</f>
        <v>148.2149260799257</v>
      </c>
      <c r="AB27" s="6">
        <f t="shared" si="59"/>
        <v>149.69707534072495</v>
      </c>
      <c r="AC27" s="6">
        <f t="shared" si="59"/>
        <v>151.1940460941322</v>
      </c>
      <c r="AD27" s="6">
        <f t="shared" si="59"/>
        <v>152.70598655507354</v>
      </c>
      <c r="AE27" s="6">
        <f t="shared" si="59"/>
        <v>154.23304642062428</v>
      </c>
      <c r="AF27" s="6">
        <f t="shared" si="59"/>
        <v>155.77537688483051</v>
      </c>
      <c r="AG27" s="6">
        <f t="shared" si="59"/>
        <v>157.33313065367881</v>
      </c>
      <c r="AH27" s="6">
        <f t="shared" si="59"/>
        <v>158.90646196021561</v>
      </c>
      <c r="AI27" s="6">
        <f t="shared" si="59"/>
        <v>160.49552657981778</v>
      </c>
      <c r="AJ27" s="6">
        <f t="shared" si="59"/>
        <v>162.10048184561595</v>
      </c>
      <c r="AK27" s="6">
        <f t="shared" si="59"/>
        <v>163.7214866640721</v>
      </c>
      <c r="AL27" s="6">
        <f t="shared" si="59"/>
        <v>165.35870153071284</v>
      </c>
      <c r="AM27" s="6">
        <f t="shared" si="59"/>
        <v>167.01228854601996</v>
      </c>
    </row>
    <row r="28" spans="2:114">
      <c r="B28" t="s">
        <v>34</v>
      </c>
      <c r="C28" s="6">
        <v>-0.97699999999999998</v>
      </c>
      <c r="D28" s="6">
        <v>2.94</v>
      </c>
      <c r="E28" s="6">
        <v>0.193</v>
      </c>
      <c r="F28" s="6">
        <v>0.84599999999999997</v>
      </c>
      <c r="G28" s="6">
        <v>-1.401</v>
      </c>
      <c r="H28" s="6">
        <v>-1.1000000000000001</v>
      </c>
      <c r="I28" s="6">
        <v>-0.61599999999999999</v>
      </c>
      <c r="J28" s="6">
        <v>6.1769999999999996</v>
      </c>
      <c r="K28" s="6">
        <v>32.292999999999999</v>
      </c>
      <c r="L28" s="6">
        <v>-0.872</v>
      </c>
      <c r="M28" s="6">
        <v>-3.93</v>
      </c>
      <c r="N28" s="6">
        <v>3.734</v>
      </c>
      <c r="O28" s="6">
        <v>1</v>
      </c>
      <c r="P28" s="6">
        <v>1</v>
      </c>
      <c r="Q28" s="6">
        <v>1</v>
      </c>
      <c r="R28" s="6">
        <v>1</v>
      </c>
      <c r="T28" s="6">
        <v>-3.4790000000000001</v>
      </c>
      <c r="U28" s="6">
        <v>-0.47399999999999998</v>
      </c>
      <c r="V28" s="10">
        <f>SUM(C28:F28)</f>
        <v>3.0020000000000002</v>
      </c>
      <c r="W28" s="10">
        <f>SUM(G28:J28)</f>
        <v>3.0599999999999992</v>
      </c>
      <c r="X28" s="10">
        <f>SUM(K28:N28)</f>
        <v>31.225000000000001</v>
      </c>
      <c r="Y28" s="10">
        <v>50</v>
      </c>
      <c r="Z28" s="6">
        <f>Y28*1.01</f>
        <v>50.5</v>
      </c>
      <c r="AA28" s="6">
        <f t="shared" ref="AA28:AM28" si="60">Z28*1.01</f>
        <v>51.005000000000003</v>
      </c>
      <c r="AB28" s="6">
        <f t="shared" si="60"/>
        <v>51.515050000000002</v>
      </c>
      <c r="AC28" s="6">
        <f t="shared" si="60"/>
        <v>52.030200499999999</v>
      </c>
      <c r="AD28" s="6">
        <f t="shared" si="60"/>
        <v>52.550502504999997</v>
      </c>
      <c r="AE28" s="6">
        <f t="shared" si="60"/>
        <v>53.076007530049999</v>
      </c>
      <c r="AF28" s="6">
        <f t="shared" si="60"/>
        <v>53.606767605350498</v>
      </c>
      <c r="AG28" s="6">
        <f t="shared" si="60"/>
        <v>54.142835281404004</v>
      </c>
      <c r="AH28" s="6">
        <f t="shared" si="60"/>
        <v>54.684263634218041</v>
      </c>
      <c r="AI28" s="6">
        <f t="shared" si="60"/>
        <v>55.231106270560225</v>
      </c>
      <c r="AJ28" s="6">
        <f t="shared" si="60"/>
        <v>55.783417333265831</v>
      </c>
      <c r="AK28" s="6">
        <f t="shared" si="60"/>
        <v>56.341251506598489</v>
      </c>
      <c r="AL28" s="6">
        <f t="shared" si="60"/>
        <v>56.904664021664473</v>
      </c>
      <c r="AM28" s="6">
        <f t="shared" si="60"/>
        <v>57.473710661881121</v>
      </c>
    </row>
    <row r="29" spans="2:114" s="1" customFormat="1">
      <c r="B29" s="1" t="s">
        <v>35</v>
      </c>
      <c r="C29" s="7">
        <f t="shared" ref="C29:N29" si="61">C26-C27-C28</f>
        <v>0.93000000000001004</v>
      </c>
      <c r="D29" s="7">
        <f t="shared" si="61"/>
        <v>46.6490000000001</v>
      </c>
      <c r="E29" s="7">
        <f t="shared" si="61"/>
        <v>49.491000000000035</v>
      </c>
      <c r="F29" s="7">
        <f t="shared" si="61"/>
        <v>74.004000000000005</v>
      </c>
      <c r="G29" s="7">
        <f t="shared" si="61"/>
        <v>88.943999999999889</v>
      </c>
      <c r="H29" s="7">
        <f t="shared" si="61"/>
        <v>117.37200000000013</v>
      </c>
      <c r="I29" s="7">
        <f t="shared" si="61"/>
        <v>97.537000000000006</v>
      </c>
      <c r="J29" s="7">
        <f t="shared" si="61"/>
        <v>45.516000000000076</v>
      </c>
      <c r="K29" s="7">
        <f t="shared" si="61"/>
        <v>38.426000000000052</v>
      </c>
      <c r="L29" s="7">
        <f t="shared" si="61"/>
        <v>40.490000000000009</v>
      </c>
      <c r="M29" s="7">
        <f t="shared" si="61"/>
        <v>42.237999999999964</v>
      </c>
      <c r="N29" s="7">
        <f t="shared" si="61"/>
        <v>20.728000000000215</v>
      </c>
      <c r="O29" s="7">
        <f t="shared" ref="O29" si="62">O26-O27-O28</f>
        <v>61.271045000000093</v>
      </c>
      <c r="P29" s="7">
        <f t="shared" ref="P29" si="63">P26-P27-P28</f>
        <v>63.845919600000002</v>
      </c>
      <c r="Q29" s="7">
        <f t="shared" ref="Q29" si="64">Q26-Q27-Q28</f>
        <v>70.736943371000024</v>
      </c>
      <c r="R29" s="7">
        <f t="shared" ref="R29" si="65">R26-R27-R28</f>
        <v>81.113250529710029</v>
      </c>
      <c r="T29" s="7">
        <f>T26-T27-T28</f>
        <v>359.52200000000022</v>
      </c>
      <c r="U29" s="7">
        <f>U26-U27-U28</f>
        <v>30.480000000000203</v>
      </c>
      <c r="V29" s="7">
        <f>V26-V27-V28</f>
        <v>171.0739999999999</v>
      </c>
      <c r="W29" s="7">
        <f>W26-W27-W28</f>
        <v>349.36900000000026</v>
      </c>
      <c r="X29" s="7">
        <f>X26-X27-X28</f>
        <v>141.88200000000066</v>
      </c>
      <c r="Y29" s="7">
        <f t="shared" ref="Y29:AM29" si="66">Y26-Y27-Y28</f>
        <v>230.96715850071041</v>
      </c>
      <c r="Z29" s="7">
        <f t="shared" si="66"/>
        <v>541.16729363321758</v>
      </c>
      <c r="AA29" s="7">
        <f t="shared" si="66"/>
        <v>838.50843286904455</v>
      </c>
      <c r="AB29" s="7">
        <f t="shared" si="66"/>
        <v>1197.8920225382403</v>
      </c>
      <c r="AC29" s="7">
        <f t="shared" si="66"/>
        <v>1814.4654085723475</v>
      </c>
      <c r="AD29" s="7">
        <f t="shared" si="66"/>
        <v>2431.2720011551787</v>
      </c>
      <c r="AE29" s="7">
        <f t="shared" si="66"/>
        <v>2711.8510049657489</v>
      </c>
      <c r="AF29" s="7">
        <f t="shared" si="66"/>
        <v>3026.5306735101508</v>
      </c>
      <c r="AG29" s="7">
        <f t="shared" si="66"/>
        <v>3379.2549065601488</v>
      </c>
      <c r="AH29" s="7">
        <f t="shared" si="66"/>
        <v>3774.4904515333437</v>
      </c>
      <c r="AI29" s="7">
        <f t="shared" si="66"/>
        <v>4311.1925115969589</v>
      </c>
      <c r="AJ29" s="7">
        <f t="shared" si="66"/>
        <v>4556.0826246267861</v>
      </c>
      <c r="AK29" s="7">
        <f t="shared" si="66"/>
        <v>4816.8485551904596</v>
      </c>
      <c r="AL29" s="7">
        <f t="shared" si="66"/>
        <v>5094.4787621431378</v>
      </c>
      <c r="AM29" s="7">
        <f t="shared" si="66"/>
        <v>5390.0412322136317</v>
      </c>
    </row>
    <row r="30" spans="2:114">
      <c r="B30" t="s">
        <v>36</v>
      </c>
      <c r="C30" s="6">
        <v>-1.7589999999999999</v>
      </c>
      <c r="D30" s="6">
        <v>17.178000000000001</v>
      </c>
      <c r="E30" s="6">
        <v>17.669</v>
      </c>
      <c r="F30" s="6">
        <v>25.582999999999998</v>
      </c>
      <c r="G30" s="6">
        <v>35.829000000000001</v>
      </c>
      <c r="H30" s="6">
        <v>46.353999999999999</v>
      </c>
      <c r="I30" s="6">
        <v>38.241999999999997</v>
      </c>
      <c r="J30" s="6">
        <v>-37.854999999999997</v>
      </c>
      <c r="K30" s="6">
        <v>14.73</v>
      </c>
      <c r="L30" s="6">
        <v>14.154999999999999</v>
      </c>
      <c r="M30" s="6">
        <v>12.805999999999999</v>
      </c>
      <c r="N30" s="6">
        <v>-22.446999999999999</v>
      </c>
      <c r="O30" s="6">
        <f t="shared" ref="O30:R30" si="67">O29*0.3</f>
        <v>18.381313500000026</v>
      </c>
      <c r="P30" s="6">
        <f t="shared" si="67"/>
        <v>19.153775880000001</v>
      </c>
      <c r="Q30" s="6">
        <f t="shared" si="67"/>
        <v>21.221083011300006</v>
      </c>
      <c r="R30" s="6">
        <f t="shared" si="67"/>
        <v>24.33397515891301</v>
      </c>
      <c r="T30" s="6">
        <v>133.39599999999999</v>
      </c>
      <c r="U30" s="6">
        <v>13.327999999999999</v>
      </c>
      <c r="V30" s="10">
        <f>SUM(C30:F30)</f>
        <v>58.670999999999999</v>
      </c>
      <c r="W30" s="10">
        <f>SUM(G30:J30)</f>
        <v>82.57</v>
      </c>
      <c r="X30" s="10">
        <f>SUM(K30:N30)</f>
        <v>19.243999999999996</v>
      </c>
      <c r="Y30" s="10">
        <f>SUM(O30:R30)</f>
        <v>83.090147550213047</v>
      </c>
      <c r="Z30" s="6">
        <f t="shared" ref="Z30:AM30" si="68">Z29*0.3</f>
        <v>162.35018808996526</v>
      </c>
      <c r="AA30" s="6">
        <f t="shared" si="68"/>
        <v>251.55252986071335</v>
      </c>
      <c r="AB30" s="6">
        <f t="shared" si="68"/>
        <v>359.36760676147208</v>
      </c>
      <c r="AC30" s="6">
        <f t="shared" si="68"/>
        <v>544.33962257170424</v>
      </c>
      <c r="AD30" s="6">
        <f t="shared" si="68"/>
        <v>729.38160034655357</v>
      </c>
      <c r="AE30" s="6">
        <f t="shared" si="68"/>
        <v>813.55530148972468</v>
      </c>
      <c r="AF30" s="6">
        <f t="shared" si="68"/>
        <v>907.95920205304526</v>
      </c>
      <c r="AG30" s="6">
        <f t="shared" si="68"/>
        <v>1013.7764719680446</v>
      </c>
      <c r="AH30" s="6">
        <f t="shared" si="68"/>
        <v>1132.3471354600031</v>
      </c>
      <c r="AI30" s="6">
        <f t="shared" si="68"/>
        <v>1293.3577534790877</v>
      </c>
      <c r="AJ30" s="6">
        <f t="shared" si="68"/>
        <v>1366.8247873880357</v>
      </c>
      <c r="AK30" s="6">
        <f t="shared" si="68"/>
        <v>1445.0545665571378</v>
      </c>
      <c r="AL30" s="6">
        <f t="shared" si="68"/>
        <v>1528.3436286429412</v>
      </c>
      <c r="AM30" s="6">
        <f t="shared" si="68"/>
        <v>1617.0123696640894</v>
      </c>
    </row>
    <row r="31" spans="2:114" s="1" customFormat="1">
      <c r="B31" s="1" t="s">
        <v>37</v>
      </c>
      <c r="C31" s="7">
        <f t="shared" ref="C31:N31" si="69">C29-C30</f>
        <v>2.6890000000000098</v>
      </c>
      <c r="D31" s="7">
        <f t="shared" si="69"/>
        <v>29.4710000000001</v>
      </c>
      <c r="E31" s="7">
        <f t="shared" si="69"/>
        <v>31.822000000000035</v>
      </c>
      <c r="F31" s="7">
        <f t="shared" si="69"/>
        <v>48.421000000000006</v>
      </c>
      <c r="G31" s="7">
        <f t="shared" si="69"/>
        <v>53.114999999999888</v>
      </c>
      <c r="H31" s="7">
        <f t="shared" si="69"/>
        <v>71.018000000000129</v>
      </c>
      <c r="I31" s="7">
        <f t="shared" si="69"/>
        <v>59.295000000000009</v>
      </c>
      <c r="J31" s="7">
        <f t="shared" si="69"/>
        <v>83.371000000000066</v>
      </c>
      <c r="K31" s="7">
        <f t="shared" si="69"/>
        <v>23.696000000000051</v>
      </c>
      <c r="L31" s="7">
        <f t="shared" si="69"/>
        <v>26.335000000000008</v>
      </c>
      <c r="M31" s="7">
        <f t="shared" si="69"/>
        <v>29.431999999999967</v>
      </c>
      <c r="N31" s="7">
        <f t="shared" si="69"/>
        <v>43.17500000000021</v>
      </c>
      <c r="O31" s="7">
        <f t="shared" ref="O31" si="70">O29-O30</f>
        <v>42.889731500000067</v>
      </c>
      <c r="P31" s="7">
        <f t="shared" ref="P31" si="71">P29-P30</f>
        <v>44.692143720000004</v>
      </c>
      <c r="Q31" s="7">
        <f t="shared" ref="Q31" si="72">Q29-Q30</f>
        <v>49.515860359700014</v>
      </c>
      <c r="R31" s="7">
        <f t="shared" ref="R31" si="73">R29-R30</f>
        <v>56.779275370797023</v>
      </c>
      <c r="T31" s="7">
        <f>T29-T30</f>
        <v>226.12600000000023</v>
      </c>
      <c r="U31" s="7">
        <f>U29-U30</f>
        <v>17.152000000000204</v>
      </c>
      <c r="V31" s="7">
        <f>V29-V30</f>
        <v>112.40299999999991</v>
      </c>
      <c r="W31" s="7">
        <f>W29-W30</f>
        <v>266.79900000000026</v>
      </c>
      <c r="X31" s="7">
        <f>X29-X30</f>
        <v>122.63800000000066</v>
      </c>
      <c r="Y31" s="7">
        <f t="shared" ref="Y31:AM31" si="74">Y29-Y30</f>
        <v>147.87701095049738</v>
      </c>
      <c r="Z31" s="7">
        <f t="shared" si="74"/>
        <v>378.8171055432523</v>
      </c>
      <c r="AA31" s="7">
        <f t="shared" si="74"/>
        <v>586.95590300833123</v>
      </c>
      <c r="AB31" s="7">
        <f t="shared" si="74"/>
        <v>838.52441577676825</v>
      </c>
      <c r="AC31" s="7">
        <f t="shared" si="74"/>
        <v>1270.1257860006433</v>
      </c>
      <c r="AD31" s="7">
        <f t="shared" si="74"/>
        <v>1701.8904008086251</v>
      </c>
      <c r="AE31" s="7">
        <f t="shared" si="74"/>
        <v>1898.2957034760243</v>
      </c>
      <c r="AF31" s="7">
        <f t="shared" si="74"/>
        <v>2118.5714714571054</v>
      </c>
      <c r="AG31" s="7">
        <f t="shared" si="74"/>
        <v>2365.4784345921043</v>
      </c>
      <c r="AH31" s="7">
        <f t="shared" si="74"/>
        <v>2642.1433160733404</v>
      </c>
      <c r="AI31" s="7">
        <f t="shared" si="74"/>
        <v>3017.8347581178714</v>
      </c>
      <c r="AJ31" s="7">
        <f t="shared" si="74"/>
        <v>3189.2578372387507</v>
      </c>
      <c r="AK31" s="7">
        <f t="shared" si="74"/>
        <v>3371.7939886333215</v>
      </c>
      <c r="AL31" s="7">
        <f t="shared" si="74"/>
        <v>3566.1351335001964</v>
      </c>
      <c r="AM31" s="7">
        <f t="shared" si="74"/>
        <v>3773.0288625495423</v>
      </c>
      <c r="AN31" s="1">
        <f>AM31*(1+$AP$40)</f>
        <v>3735.2985739240467</v>
      </c>
      <c r="AO31" s="1">
        <f t="shared" ref="AO31:CZ31" si="75">AN31*(1+$AP$40)</f>
        <v>3697.9455881848062</v>
      </c>
      <c r="AP31" s="1">
        <f t="shared" si="75"/>
        <v>3660.9661323029582</v>
      </c>
      <c r="AQ31" s="1">
        <f t="shared" si="75"/>
        <v>3624.3564709799284</v>
      </c>
      <c r="AR31" s="1">
        <f t="shared" si="75"/>
        <v>3588.1129062701293</v>
      </c>
      <c r="AS31" s="1">
        <f t="shared" si="75"/>
        <v>3552.231777207428</v>
      </c>
      <c r="AT31" s="1">
        <f t="shared" si="75"/>
        <v>3516.7094594353534</v>
      </c>
      <c r="AU31" s="1">
        <f t="shared" si="75"/>
        <v>3481.5423648409997</v>
      </c>
      <c r="AV31" s="1">
        <f t="shared" si="75"/>
        <v>3446.7269411925895</v>
      </c>
      <c r="AW31" s="1">
        <f t="shared" si="75"/>
        <v>3412.2596717806637</v>
      </c>
      <c r="AX31" s="1">
        <f t="shared" si="75"/>
        <v>3378.1370750628571</v>
      </c>
      <c r="AY31" s="1">
        <f t="shared" si="75"/>
        <v>3344.3557043122287</v>
      </c>
      <c r="AZ31" s="1">
        <f t="shared" si="75"/>
        <v>3310.9121472691063</v>
      </c>
      <c r="BA31" s="1">
        <f t="shared" si="75"/>
        <v>3277.8030257964151</v>
      </c>
      <c r="BB31" s="1">
        <f t="shared" si="75"/>
        <v>3245.0249955384511</v>
      </c>
      <c r="BC31" s="1">
        <f t="shared" si="75"/>
        <v>3212.5747455830665</v>
      </c>
      <c r="BD31" s="1">
        <f t="shared" si="75"/>
        <v>3180.4489981272359</v>
      </c>
      <c r="BE31" s="1">
        <f t="shared" si="75"/>
        <v>3148.6445081459633</v>
      </c>
      <c r="BF31" s="1">
        <f t="shared" si="75"/>
        <v>3117.1580630645035</v>
      </c>
      <c r="BG31" s="1">
        <f t="shared" si="75"/>
        <v>3085.9864824338583</v>
      </c>
      <c r="BH31" s="1">
        <f t="shared" si="75"/>
        <v>3055.1266176095196</v>
      </c>
      <c r="BI31" s="1">
        <f t="shared" si="75"/>
        <v>3024.5753514334242</v>
      </c>
      <c r="BJ31" s="1">
        <f t="shared" si="75"/>
        <v>2994.3295979190898</v>
      </c>
      <c r="BK31" s="1">
        <f t="shared" si="75"/>
        <v>2964.3863019398987</v>
      </c>
      <c r="BL31" s="1">
        <f t="shared" si="75"/>
        <v>2934.7424389204998</v>
      </c>
      <c r="BM31" s="1">
        <f t="shared" si="75"/>
        <v>2905.3950145312947</v>
      </c>
      <c r="BN31" s="1">
        <f t="shared" si="75"/>
        <v>2876.3410643859816</v>
      </c>
      <c r="BO31" s="1">
        <f t="shared" si="75"/>
        <v>2847.5776537421216</v>
      </c>
      <c r="BP31" s="1">
        <f t="shared" si="75"/>
        <v>2819.1018772047005</v>
      </c>
      <c r="BQ31" s="1">
        <f t="shared" si="75"/>
        <v>2790.9108584326536</v>
      </c>
      <c r="BR31" s="1">
        <f t="shared" si="75"/>
        <v>2763.0017498483271</v>
      </c>
      <c r="BS31" s="1">
        <f t="shared" si="75"/>
        <v>2735.371732349844</v>
      </c>
      <c r="BT31" s="1">
        <f t="shared" si="75"/>
        <v>2708.0180150263454</v>
      </c>
      <c r="BU31" s="1">
        <f t="shared" si="75"/>
        <v>2680.937834876082</v>
      </c>
      <c r="BV31" s="1">
        <f t="shared" si="75"/>
        <v>2654.1284565273213</v>
      </c>
      <c r="BW31" s="1">
        <f t="shared" si="75"/>
        <v>2627.5871719620482</v>
      </c>
      <c r="BX31" s="1">
        <f t="shared" si="75"/>
        <v>2601.3113002424275</v>
      </c>
      <c r="BY31" s="1">
        <f t="shared" si="75"/>
        <v>2575.2981872400032</v>
      </c>
      <c r="BZ31" s="1">
        <f t="shared" si="75"/>
        <v>2549.5452053676031</v>
      </c>
      <c r="CA31" s="1">
        <f t="shared" si="75"/>
        <v>2524.0497533139269</v>
      </c>
      <c r="CB31" s="1">
        <f t="shared" si="75"/>
        <v>2498.8092557807877</v>
      </c>
      <c r="CC31" s="1">
        <f t="shared" si="75"/>
        <v>2473.82116322298</v>
      </c>
      <c r="CD31" s="1">
        <f t="shared" si="75"/>
        <v>2449.0829515907503</v>
      </c>
      <c r="CE31" s="1">
        <f t="shared" si="75"/>
        <v>2424.5921220748428</v>
      </c>
      <c r="CF31" s="1">
        <f t="shared" si="75"/>
        <v>2400.3462008540941</v>
      </c>
      <c r="CG31" s="1">
        <f t="shared" si="75"/>
        <v>2376.3427388455534</v>
      </c>
      <c r="CH31" s="1">
        <f t="shared" si="75"/>
        <v>2352.5793114570979</v>
      </c>
      <c r="CI31" s="1">
        <f t="shared" si="75"/>
        <v>2329.0535183425268</v>
      </c>
      <c r="CJ31" s="1">
        <f t="shared" si="75"/>
        <v>2305.7629831591016</v>
      </c>
      <c r="CK31" s="1">
        <f t="shared" si="75"/>
        <v>2282.7053533275107</v>
      </c>
      <c r="CL31" s="1">
        <f t="shared" si="75"/>
        <v>2259.8782997942358</v>
      </c>
      <c r="CM31" s="1">
        <f t="shared" si="75"/>
        <v>2237.2795167962936</v>
      </c>
      <c r="CN31" s="1">
        <f t="shared" si="75"/>
        <v>2214.9067216283306</v>
      </c>
      <c r="CO31" s="1">
        <f t="shared" si="75"/>
        <v>2192.7576544120475</v>
      </c>
      <c r="CP31" s="1">
        <f t="shared" si="75"/>
        <v>2170.8300778679268</v>
      </c>
      <c r="CQ31" s="1">
        <f t="shared" si="75"/>
        <v>2149.1217770892476</v>
      </c>
      <c r="CR31" s="1">
        <f t="shared" si="75"/>
        <v>2127.6305593183552</v>
      </c>
      <c r="CS31" s="1">
        <f t="shared" si="75"/>
        <v>2106.3542537251715</v>
      </c>
      <c r="CT31" s="1">
        <f t="shared" si="75"/>
        <v>2085.2907111879199</v>
      </c>
      <c r="CU31" s="1">
        <f t="shared" si="75"/>
        <v>2064.4378040760407</v>
      </c>
      <c r="CV31" s="1">
        <f t="shared" si="75"/>
        <v>2043.7934260352804</v>
      </c>
      <c r="CW31" s="1">
        <f t="shared" si="75"/>
        <v>2023.3554917749275</v>
      </c>
      <c r="CX31" s="1">
        <f t="shared" si="75"/>
        <v>2003.1219368571783</v>
      </c>
      <c r="CY31" s="1">
        <f t="shared" si="75"/>
        <v>1983.0907174886065</v>
      </c>
      <c r="CZ31" s="1">
        <f t="shared" si="75"/>
        <v>1963.2598103137204</v>
      </c>
      <c r="DA31" s="1">
        <f t="shared" ref="DA31:DJ31" si="76">CZ31*(1+$AP$40)</f>
        <v>1943.6272122105831</v>
      </c>
      <c r="DB31" s="1">
        <f t="shared" si="76"/>
        <v>1924.1909400884772</v>
      </c>
      <c r="DC31" s="1">
        <f t="shared" si="76"/>
        <v>1904.9490306875923</v>
      </c>
      <c r="DD31" s="1">
        <f t="shared" si="76"/>
        <v>1885.8995403807164</v>
      </c>
      <c r="DE31" s="1">
        <f t="shared" si="76"/>
        <v>1867.0405449769091</v>
      </c>
      <c r="DF31" s="1">
        <f t="shared" si="76"/>
        <v>1848.3701395271401</v>
      </c>
      <c r="DG31" s="1">
        <f t="shared" si="76"/>
        <v>1829.8864381318685</v>
      </c>
      <c r="DH31" s="1">
        <f t="shared" si="76"/>
        <v>1811.5875737505498</v>
      </c>
      <c r="DI31" s="1">
        <f t="shared" si="76"/>
        <v>1793.4716980130443</v>
      </c>
      <c r="DJ31" s="1">
        <f t="shared" si="76"/>
        <v>1775.5369810329139</v>
      </c>
    </row>
    <row r="32" spans="2:114">
      <c r="B32" t="s">
        <v>2</v>
      </c>
      <c r="C32">
        <v>428</v>
      </c>
      <c r="D32">
        <v>428</v>
      </c>
      <c r="E32">
        <v>428</v>
      </c>
      <c r="F32">
        <v>428</v>
      </c>
      <c r="G32">
        <v>428</v>
      </c>
      <c r="H32">
        <v>428</v>
      </c>
      <c r="I32">
        <v>428</v>
      </c>
      <c r="J32">
        <v>428</v>
      </c>
      <c r="K32">
        <v>428</v>
      </c>
      <c r="L32">
        <v>428</v>
      </c>
      <c r="M32">
        <v>428</v>
      </c>
      <c r="N32">
        <v>428</v>
      </c>
      <c r="O32" s="10">
        <v>428</v>
      </c>
      <c r="P32" s="10">
        <v>428</v>
      </c>
      <c r="Q32" s="10">
        <v>428</v>
      </c>
      <c r="R32" s="10">
        <v>428</v>
      </c>
      <c r="T32">
        <v>428</v>
      </c>
      <c r="U32">
        <v>428</v>
      </c>
      <c r="V32" s="10">
        <v>428</v>
      </c>
      <c r="W32" s="10">
        <v>428</v>
      </c>
      <c r="X32" s="10">
        <v>428</v>
      </c>
      <c r="Y32" s="10">
        <v>428</v>
      </c>
      <c r="Z32" s="10">
        <v>428</v>
      </c>
      <c r="AA32" s="10">
        <v>428</v>
      </c>
      <c r="AB32" s="10">
        <v>428</v>
      </c>
      <c r="AC32" s="10">
        <v>428</v>
      </c>
      <c r="AD32" s="10">
        <v>428</v>
      </c>
      <c r="AE32" s="10">
        <v>428</v>
      </c>
      <c r="AF32" s="10">
        <v>428</v>
      </c>
      <c r="AG32" s="10">
        <v>428</v>
      </c>
      <c r="AH32" s="10">
        <v>428</v>
      </c>
      <c r="AI32" s="10">
        <v>428</v>
      </c>
      <c r="AJ32" s="10">
        <v>428</v>
      </c>
      <c r="AK32" s="10">
        <v>428</v>
      </c>
      <c r="AL32" s="10">
        <v>428</v>
      </c>
      <c r="AM32" s="10">
        <v>428</v>
      </c>
    </row>
    <row r="33" spans="2:42" s="1" customFormat="1">
      <c r="B33" s="1" t="s">
        <v>38</v>
      </c>
      <c r="C33" s="8">
        <f t="shared" ref="C33:N33" si="77">C31/C32</f>
        <v>6.2827102803738547E-3</v>
      </c>
      <c r="D33" s="8">
        <f t="shared" si="77"/>
        <v>6.8857476635514253E-2</v>
      </c>
      <c r="E33" s="8">
        <f t="shared" si="77"/>
        <v>7.435046728971971E-2</v>
      </c>
      <c r="F33" s="8">
        <f t="shared" si="77"/>
        <v>0.11313317757009347</v>
      </c>
      <c r="G33" s="8">
        <f t="shared" si="77"/>
        <v>0.12410046728971937</v>
      </c>
      <c r="H33" s="8">
        <f t="shared" si="77"/>
        <v>0.16592990654205639</v>
      </c>
      <c r="I33" s="8">
        <f t="shared" si="77"/>
        <v>0.13853971962616823</v>
      </c>
      <c r="J33" s="8">
        <f t="shared" si="77"/>
        <v>0.19479205607476652</v>
      </c>
      <c r="K33" s="8">
        <f t="shared" si="77"/>
        <v>5.5364485981308532E-2</v>
      </c>
      <c r="L33" s="8">
        <f t="shared" si="77"/>
        <v>6.1530373831775717E-2</v>
      </c>
      <c r="M33" s="8">
        <f t="shared" si="77"/>
        <v>6.8766355140186836E-2</v>
      </c>
      <c r="N33" s="8">
        <f t="shared" si="77"/>
        <v>0.10087616822429955</v>
      </c>
      <c r="O33" s="8">
        <f t="shared" ref="O33" si="78">O31/O32</f>
        <v>0.10020965303738333</v>
      </c>
      <c r="P33" s="8">
        <f t="shared" ref="P33" si="79">P31/P32</f>
        <v>0.10442089654205608</v>
      </c>
      <c r="Q33" s="8">
        <f t="shared" ref="Q33" si="80">Q31/Q32</f>
        <v>0.11569126252266358</v>
      </c>
      <c r="R33" s="8">
        <f t="shared" ref="R33" si="81">R31/R32</f>
        <v>0.13266185834298369</v>
      </c>
      <c r="T33" s="8">
        <f>T31/T32</f>
        <v>0.52833177570093515</v>
      </c>
      <c r="U33" s="8">
        <f>U31/U32</f>
        <v>4.0074766355140665E-2</v>
      </c>
      <c r="V33" s="8">
        <f>V31/V32</f>
        <v>0.2626238317757007</v>
      </c>
      <c r="W33" s="8">
        <f>W31/W32</f>
        <v>0.62336214953271085</v>
      </c>
      <c r="X33" s="8">
        <f>X31/X32</f>
        <v>0.28653738317757166</v>
      </c>
      <c r="Y33" s="8">
        <f t="shared" ref="Y33:AM33" si="82">Y31/Y32</f>
        <v>0.34550703493106866</v>
      </c>
      <c r="Z33" s="8">
        <f t="shared" si="82"/>
        <v>0.88508669519451466</v>
      </c>
      <c r="AA33" s="8">
        <f t="shared" si="82"/>
        <v>1.3713922967484375</v>
      </c>
      <c r="AB33" s="8">
        <f t="shared" si="82"/>
        <v>1.9591691957401127</v>
      </c>
      <c r="AC33" s="8">
        <f t="shared" si="82"/>
        <v>2.9675836121510359</v>
      </c>
      <c r="AD33" s="8">
        <f t="shared" si="82"/>
        <v>3.9763794411416473</v>
      </c>
      <c r="AE33" s="8">
        <f t="shared" si="82"/>
        <v>4.4352703352243559</v>
      </c>
      <c r="AF33" s="8">
        <f t="shared" si="82"/>
        <v>4.949933344525947</v>
      </c>
      <c r="AG33" s="8">
        <f t="shared" si="82"/>
        <v>5.5268187724114588</v>
      </c>
      <c r="AH33" s="8">
        <f t="shared" si="82"/>
        <v>6.1732320469003277</v>
      </c>
      <c r="AI33" s="8">
        <f t="shared" si="82"/>
        <v>7.0510157899950263</v>
      </c>
      <c r="AJ33" s="8">
        <f t="shared" si="82"/>
        <v>7.4515370028942769</v>
      </c>
      <c r="AK33" s="8">
        <f t="shared" si="82"/>
        <v>7.8780233379283215</v>
      </c>
      <c r="AL33" s="8">
        <f t="shared" si="82"/>
        <v>8.3320914334116747</v>
      </c>
      <c r="AM33" s="8">
        <f t="shared" si="82"/>
        <v>8.8154879966110808</v>
      </c>
    </row>
    <row r="35" spans="2:42">
      <c r="B35" s="1" t="s">
        <v>66</v>
      </c>
      <c r="C35" s="12">
        <f>C22/C20</f>
        <v>0.28029290178043892</v>
      </c>
      <c r="D35" s="12">
        <f t="shared" ref="D35:R35" si="83">D22/D20</f>
        <v>0.28867223005651921</v>
      </c>
      <c r="E35" s="12">
        <f t="shared" si="83"/>
        <v>0.27766661633509621</v>
      </c>
      <c r="F35" s="12">
        <f t="shared" si="83"/>
        <v>0.30168818018600613</v>
      </c>
      <c r="G35" s="12">
        <f t="shared" si="83"/>
        <v>0.31564953322168754</v>
      </c>
      <c r="H35" s="12">
        <f t="shared" si="83"/>
        <v>0.3174849131644345</v>
      </c>
      <c r="I35" s="12">
        <f t="shared" si="83"/>
        <v>0.32285204252493205</v>
      </c>
      <c r="J35" s="12">
        <f t="shared" si="83"/>
        <v>0.3168230140470174</v>
      </c>
      <c r="K35" s="12">
        <f t="shared" si="83"/>
        <v>0.33482823086981423</v>
      </c>
      <c r="L35" s="12">
        <f t="shared" si="83"/>
        <v>0.31795701814440863</v>
      </c>
      <c r="M35" s="12">
        <f t="shared" si="83"/>
        <v>0.32467303859108176</v>
      </c>
      <c r="N35" s="12">
        <f t="shared" si="83"/>
        <v>0.31478780891916075</v>
      </c>
      <c r="O35" s="12">
        <f t="shared" si="83"/>
        <v>0.33</v>
      </c>
      <c r="P35" s="12">
        <f t="shared" si="83"/>
        <v>0.33</v>
      </c>
      <c r="Q35" s="12">
        <f t="shared" si="83"/>
        <v>0.33</v>
      </c>
      <c r="R35" s="12">
        <f t="shared" si="83"/>
        <v>0.33</v>
      </c>
      <c r="T35" s="12">
        <f t="shared" ref="T35:AM35" si="84">T22/T20</f>
        <v>0.36344141520082063</v>
      </c>
      <c r="U35" s="12">
        <f t="shared" si="84"/>
        <v>0.27246859624712066</v>
      </c>
      <c r="V35" s="12">
        <f t="shared" si="84"/>
        <v>0.28742511821754951</v>
      </c>
      <c r="W35" s="12">
        <f t="shared" si="84"/>
        <v>0.31825712633087339</v>
      </c>
      <c r="X35" s="12">
        <f t="shared" si="84"/>
        <v>0.32274156646401203</v>
      </c>
      <c r="Y35" s="12">
        <f t="shared" si="84"/>
        <v>0.33</v>
      </c>
      <c r="Z35" s="12">
        <f t="shared" si="84"/>
        <v>0.34</v>
      </c>
      <c r="AA35" s="12">
        <f t="shared" si="84"/>
        <v>0.34</v>
      </c>
      <c r="AB35" s="12">
        <f t="shared" si="84"/>
        <v>0.33999999999999997</v>
      </c>
      <c r="AC35" s="12">
        <f t="shared" si="84"/>
        <v>0.35</v>
      </c>
      <c r="AD35" s="12">
        <f t="shared" si="84"/>
        <v>0.35</v>
      </c>
      <c r="AE35" s="12">
        <f t="shared" si="84"/>
        <v>0.35</v>
      </c>
      <c r="AF35" s="12">
        <f t="shared" si="84"/>
        <v>0.35</v>
      </c>
      <c r="AG35" s="12">
        <f t="shared" si="84"/>
        <v>0.35</v>
      </c>
      <c r="AH35" s="12">
        <f t="shared" si="84"/>
        <v>0.35000000000000003</v>
      </c>
      <c r="AI35" s="12">
        <f t="shared" si="84"/>
        <v>0.36</v>
      </c>
      <c r="AJ35" s="12">
        <f t="shared" si="84"/>
        <v>0.36</v>
      </c>
      <c r="AK35" s="12">
        <f t="shared" si="84"/>
        <v>0.36</v>
      </c>
      <c r="AL35" s="12">
        <f t="shared" si="84"/>
        <v>0.36</v>
      </c>
      <c r="AM35" s="12">
        <f t="shared" si="84"/>
        <v>0.36</v>
      </c>
    </row>
    <row r="36" spans="2:42" s="1" customFormat="1">
      <c r="B36" s="1" t="s">
        <v>67</v>
      </c>
      <c r="C36" s="12">
        <f>C26/C20</f>
        <v>3.1077355485218686E-2</v>
      </c>
      <c r="D36" s="12">
        <f t="shared" ref="D36:R36" si="85">D26/D20</f>
        <v>5.3411722020026794E-2</v>
      </c>
      <c r="E36" s="12">
        <f t="shared" si="85"/>
        <v>5.1645616316108811E-2</v>
      </c>
      <c r="F36" s="12">
        <f t="shared" si="85"/>
        <v>7.0018634650238679E-2</v>
      </c>
      <c r="G36" s="12">
        <f t="shared" si="85"/>
        <v>7.6841071767411492E-2</v>
      </c>
      <c r="H36" s="12">
        <f t="shared" si="85"/>
        <v>9.6687051022562642E-2</v>
      </c>
      <c r="I36" s="12">
        <f t="shared" si="85"/>
        <v>7.8334392861805324E-2</v>
      </c>
      <c r="J36" s="12">
        <f t="shared" si="85"/>
        <v>4.3810044668114348E-2</v>
      </c>
      <c r="K36" s="12">
        <f t="shared" si="85"/>
        <v>6.1950418560715641E-2</v>
      </c>
      <c r="L36" s="12">
        <f t="shared" si="85"/>
        <v>4.5500865206536907E-2</v>
      </c>
      <c r="M36" s="12">
        <f t="shared" si="85"/>
        <v>4.2362463363352115E-2</v>
      </c>
      <c r="N36" s="12">
        <f t="shared" si="85"/>
        <v>3.2846989551552137E-2</v>
      </c>
      <c r="O36" s="12">
        <f t="shared" si="85"/>
        <v>5.0000000000000058E-2</v>
      </c>
      <c r="P36" s="12">
        <f t="shared" si="85"/>
        <v>0.05</v>
      </c>
      <c r="Q36" s="12">
        <f t="shared" si="85"/>
        <v>5.000000000000001E-2</v>
      </c>
      <c r="R36" s="12">
        <f t="shared" si="85"/>
        <v>5.000000000000001E-2</v>
      </c>
      <c r="T36" s="12">
        <f t="shared" ref="T36:AM36" si="86">T26/T20</f>
        <v>0.11735339796796899</v>
      </c>
      <c r="U36" s="12">
        <f t="shared" si="86"/>
        <v>1.3850954289523567E-2</v>
      </c>
      <c r="V36" s="12">
        <f t="shared" si="86"/>
        <v>5.2198825848164897E-2</v>
      </c>
      <c r="W36" s="12">
        <f t="shared" si="86"/>
        <v>7.3146805177289956E-2</v>
      </c>
      <c r="X36" s="12">
        <f t="shared" si="86"/>
        <v>4.5109890669105875E-2</v>
      </c>
      <c r="Y36" s="12">
        <f t="shared" si="86"/>
        <v>5.0000000000000044E-2</v>
      </c>
      <c r="Z36" s="12">
        <f t="shared" si="86"/>
        <v>7.0000000000000034E-2</v>
      </c>
      <c r="AA36" s="12">
        <f t="shared" si="86"/>
        <v>8.0000000000000016E-2</v>
      </c>
      <c r="AB36" s="12">
        <f t="shared" si="86"/>
        <v>9.0000000000000024E-2</v>
      </c>
      <c r="AC36" s="12">
        <f t="shared" si="86"/>
        <v>0.10999999999999999</v>
      </c>
      <c r="AD36" s="12">
        <f t="shared" si="86"/>
        <v>0.12999999999999998</v>
      </c>
      <c r="AE36" s="12">
        <f t="shared" si="86"/>
        <v>0.12999999999999995</v>
      </c>
      <c r="AF36" s="12">
        <f t="shared" si="86"/>
        <v>0.12999999999999998</v>
      </c>
      <c r="AG36" s="12">
        <f t="shared" si="86"/>
        <v>0.12999999999999998</v>
      </c>
      <c r="AH36" s="12">
        <f t="shared" si="86"/>
        <v>0.13000000000000003</v>
      </c>
      <c r="AI36" s="12">
        <f t="shared" si="86"/>
        <v>0.13999999999999996</v>
      </c>
      <c r="AJ36" s="12">
        <f t="shared" si="86"/>
        <v>0.13999999999999999</v>
      </c>
      <c r="AK36" s="12">
        <f t="shared" si="86"/>
        <v>0.14000000000000001</v>
      </c>
      <c r="AL36" s="12">
        <f t="shared" si="86"/>
        <v>0.13999999999999996</v>
      </c>
      <c r="AM36" s="12">
        <f t="shared" si="86"/>
        <v>0.13999999999999999</v>
      </c>
    </row>
    <row r="37" spans="2:42" s="1" customFormat="1">
      <c r="B37" s="9" t="s">
        <v>69</v>
      </c>
      <c r="C37" s="12">
        <f>C23/C$20</f>
        <v>0.1162993512448228</v>
      </c>
      <c r="D37" s="12">
        <f t="shared" ref="D37:R37" si="87">D23/D$20</f>
        <v>0.10717598740195179</v>
      </c>
      <c r="E37" s="12">
        <f t="shared" si="87"/>
        <v>9.7855423015753173E-2</v>
      </c>
      <c r="F37" s="12">
        <f t="shared" si="87"/>
        <v>0.1089293159636837</v>
      </c>
      <c r="G37" s="12">
        <f t="shared" si="87"/>
        <v>0.10794361654970637</v>
      </c>
      <c r="H37" s="12">
        <f t="shared" si="87"/>
        <v>9.0094277335167602E-2</v>
      </c>
      <c r="I37" s="12">
        <f t="shared" si="87"/>
        <v>0.10334233932534524</v>
      </c>
      <c r="J37" s="12">
        <f t="shared" si="87"/>
        <v>0.13717731463271385</v>
      </c>
      <c r="K37" s="12">
        <f t="shared" si="87"/>
        <v>0.12375145331374603</v>
      </c>
      <c r="L37" s="12">
        <f t="shared" si="87"/>
        <v>0.11986424222378143</v>
      </c>
      <c r="M37" s="12">
        <f t="shared" si="87"/>
        <v>0.11971202659986022</v>
      </c>
      <c r="N37" s="12">
        <f t="shared" si="87"/>
        <v>0.12294517786931952</v>
      </c>
      <c r="O37" s="12">
        <f t="shared" si="87"/>
        <v>0.11999999999999998</v>
      </c>
      <c r="P37" s="12">
        <f t="shared" si="87"/>
        <v>0.12</v>
      </c>
      <c r="Q37" s="12">
        <f t="shared" si="87"/>
        <v>0.12</v>
      </c>
      <c r="R37" s="12">
        <f t="shared" si="87"/>
        <v>0.12000000000000001</v>
      </c>
      <c r="T37" s="12">
        <f t="shared" ref="T37:AM37" si="88">T23/T$20</f>
        <v>0.12564466386671314</v>
      </c>
      <c r="U37" s="12">
        <f t="shared" si="88"/>
        <v>0.13430067254373584</v>
      </c>
      <c r="V37" s="12">
        <f t="shared" si="88"/>
        <v>0.10742606916989633</v>
      </c>
      <c r="W37" s="12">
        <f t="shared" si="88"/>
        <v>0.11030407713034202</v>
      </c>
      <c r="X37" s="12">
        <f t="shared" si="88"/>
        <v>0.12155581722634566</v>
      </c>
      <c r="Y37" s="12">
        <f t="shared" si="88"/>
        <v>0.12</v>
      </c>
      <c r="Z37" s="12">
        <f t="shared" si="88"/>
        <v>0.12000000000000001</v>
      </c>
      <c r="AA37" s="12">
        <f t="shared" si="88"/>
        <v>0.11</v>
      </c>
      <c r="AB37" s="12">
        <f t="shared" si="88"/>
        <v>0.1</v>
      </c>
      <c r="AC37" s="12">
        <f t="shared" si="88"/>
        <v>0.09</v>
      </c>
      <c r="AD37" s="12">
        <f t="shared" si="88"/>
        <v>0.08</v>
      </c>
      <c r="AE37" s="12">
        <f t="shared" si="88"/>
        <v>0.08</v>
      </c>
      <c r="AF37" s="12">
        <f t="shared" si="88"/>
        <v>0.08</v>
      </c>
      <c r="AG37" s="12">
        <f t="shared" si="88"/>
        <v>0.08</v>
      </c>
      <c r="AH37" s="12">
        <f t="shared" si="88"/>
        <v>0.08</v>
      </c>
      <c r="AI37" s="12">
        <f t="shared" si="88"/>
        <v>0.08</v>
      </c>
      <c r="AJ37" s="12">
        <f t="shared" si="88"/>
        <v>0.08</v>
      </c>
      <c r="AK37" s="12">
        <f t="shared" si="88"/>
        <v>0.08</v>
      </c>
      <c r="AL37" s="12">
        <f t="shared" si="88"/>
        <v>0.08</v>
      </c>
      <c r="AM37" s="12">
        <f t="shared" si="88"/>
        <v>0.08</v>
      </c>
    </row>
    <row r="38" spans="2:42" s="1" customFormat="1">
      <c r="B38" s="9" t="s">
        <v>70</v>
      </c>
      <c r="C38" s="12">
        <f>C24/C$20</f>
        <v>8.9822756921406177E-2</v>
      </c>
      <c r="D38" s="12">
        <f t="shared" ref="D38:R38" si="89">D24/D$20</f>
        <v>8.7084756286867432E-2</v>
      </c>
      <c r="E38" s="12">
        <f t="shared" si="89"/>
        <v>8.6383441576348627E-2</v>
      </c>
      <c r="F38" s="12">
        <f t="shared" si="89"/>
        <v>8.349684742561031E-2</v>
      </c>
      <c r="G38" s="12">
        <f t="shared" si="89"/>
        <v>8.6852181225095249E-2</v>
      </c>
      <c r="H38" s="12">
        <f t="shared" si="89"/>
        <v>8.5930616596302453E-2</v>
      </c>
      <c r="I38" s="12">
        <f t="shared" si="89"/>
        <v>8.5816839691450181E-2</v>
      </c>
      <c r="J38" s="12">
        <f t="shared" si="89"/>
        <v>8.4780511986033799E-2</v>
      </c>
      <c r="K38" s="12">
        <f t="shared" si="89"/>
        <v>9.0969017798286075E-2</v>
      </c>
      <c r="L38" s="12">
        <f t="shared" si="89"/>
        <v>9.4279543793556742E-2</v>
      </c>
      <c r="M38" s="12">
        <f t="shared" si="89"/>
        <v>9.8807205662824915E-2</v>
      </c>
      <c r="N38" s="12">
        <f t="shared" si="89"/>
        <v>9.9191974258130575E-2</v>
      </c>
      <c r="O38" s="12">
        <f t="shared" si="89"/>
        <v>0.1</v>
      </c>
      <c r="P38" s="12">
        <f t="shared" si="89"/>
        <v>0.1</v>
      </c>
      <c r="Q38" s="12">
        <f t="shared" si="89"/>
        <v>0.1</v>
      </c>
      <c r="R38" s="12">
        <f t="shared" si="89"/>
        <v>0.1</v>
      </c>
      <c r="T38" s="12">
        <f t="shared" ref="T38:AM38" si="90">T24/T$20</f>
        <v>8.0832197197945307E-2</v>
      </c>
      <c r="U38" s="12">
        <f t="shared" si="90"/>
        <v>9.1156080350607113E-2</v>
      </c>
      <c r="V38" s="12">
        <f t="shared" si="90"/>
        <v>8.6584439767912774E-2</v>
      </c>
      <c r="W38" s="12">
        <f t="shared" si="90"/>
        <v>8.5803908545783791E-2</v>
      </c>
      <c r="X38" s="12">
        <f t="shared" si="90"/>
        <v>9.5993501596206565E-2</v>
      </c>
      <c r="Y38" s="12">
        <f t="shared" si="90"/>
        <v>0.1</v>
      </c>
      <c r="Z38" s="12">
        <f t="shared" si="90"/>
        <v>0.09</v>
      </c>
      <c r="AA38" s="12">
        <f t="shared" si="90"/>
        <v>0.09</v>
      </c>
      <c r="AB38" s="12">
        <f t="shared" si="90"/>
        <v>0.09</v>
      </c>
      <c r="AC38" s="12">
        <f t="shared" si="90"/>
        <v>0.09</v>
      </c>
      <c r="AD38" s="12">
        <f t="shared" si="90"/>
        <v>0.08</v>
      </c>
      <c r="AE38" s="12">
        <f t="shared" si="90"/>
        <v>0.08</v>
      </c>
      <c r="AF38" s="12">
        <f t="shared" si="90"/>
        <v>0.08</v>
      </c>
      <c r="AG38" s="12">
        <f t="shared" si="90"/>
        <v>0.08</v>
      </c>
      <c r="AH38" s="12">
        <f t="shared" si="90"/>
        <v>0.08</v>
      </c>
      <c r="AI38" s="12">
        <f t="shared" si="90"/>
        <v>0.08</v>
      </c>
      <c r="AJ38" s="12">
        <f t="shared" si="90"/>
        <v>0.08</v>
      </c>
      <c r="AK38" s="12">
        <f t="shared" si="90"/>
        <v>0.08</v>
      </c>
      <c r="AL38" s="12">
        <f t="shared" si="90"/>
        <v>0.08</v>
      </c>
      <c r="AM38" s="12">
        <f t="shared" si="90"/>
        <v>0.08</v>
      </c>
    </row>
    <row r="39" spans="2:42" s="1" customFormat="1">
      <c r="B39" s="9" t="s">
        <v>71</v>
      </c>
      <c r="C39" s="12">
        <f>C25/C$20</f>
        <v>4.3093438128991239E-2</v>
      </c>
      <c r="D39" s="12">
        <f t="shared" ref="D39:R39" si="91">D25/D$20</f>
        <v>4.0999764347673211E-2</v>
      </c>
      <c r="E39" s="12">
        <f t="shared" si="91"/>
        <v>4.1782135426885553E-2</v>
      </c>
      <c r="F39" s="12">
        <f t="shared" si="91"/>
        <v>3.9243382146473452E-2</v>
      </c>
      <c r="G39" s="12">
        <f t="shared" si="91"/>
        <v>4.4012663679474429E-2</v>
      </c>
      <c r="H39" s="12">
        <f t="shared" si="91"/>
        <v>4.4772968210401762E-2</v>
      </c>
      <c r="I39" s="12">
        <f t="shared" si="91"/>
        <v>5.5358470646331287E-2</v>
      </c>
      <c r="J39" s="12">
        <f t="shared" si="91"/>
        <v>5.1055142760155395E-2</v>
      </c>
      <c r="K39" s="12">
        <f t="shared" si="91"/>
        <v>5.8157341197066482E-2</v>
      </c>
      <c r="L39" s="12">
        <f t="shared" si="91"/>
        <v>5.831236692053355E-2</v>
      </c>
      <c r="M39" s="12">
        <f t="shared" si="91"/>
        <v>6.3791342965044531E-2</v>
      </c>
      <c r="N39" s="12">
        <f t="shared" si="91"/>
        <v>5.9803667240158544E-2</v>
      </c>
      <c r="O39" s="12">
        <f t="shared" si="91"/>
        <v>5.9999999999999991E-2</v>
      </c>
      <c r="P39" s="12">
        <f t="shared" si="91"/>
        <v>0.06</v>
      </c>
      <c r="Q39" s="12">
        <f t="shared" si="91"/>
        <v>0.06</v>
      </c>
      <c r="R39" s="12">
        <f t="shared" si="91"/>
        <v>6.0000000000000005E-2</v>
      </c>
      <c r="T39" s="12">
        <f t="shared" ref="T39:AM39" si="92">T25/T$20</f>
        <v>3.9611156168193176E-2</v>
      </c>
      <c r="U39" s="12">
        <f t="shared" si="92"/>
        <v>3.316088906325413E-2</v>
      </c>
      <c r="V39" s="12">
        <f t="shared" si="92"/>
        <v>4.1215783431575545E-2</v>
      </c>
      <c r="W39" s="12">
        <f t="shared" si="92"/>
        <v>4.9002335477457623E-2</v>
      </c>
      <c r="X39" s="12">
        <f t="shared" si="92"/>
        <v>6.0082356972353909E-2</v>
      </c>
      <c r="Y39" s="12">
        <f t="shared" si="92"/>
        <v>0.06</v>
      </c>
      <c r="Z39" s="12">
        <f t="shared" si="92"/>
        <v>6.0000000000000005E-2</v>
      </c>
      <c r="AA39" s="12">
        <f t="shared" si="92"/>
        <v>0.06</v>
      </c>
      <c r="AB39" s="12">
        <f t="shared" si="92"/>
        <v>0.06</v>
      </c>
      <c r="AC39" s="12">
        <f t="shared" si="92"/>
        <v>5.9999999999999991E-2</v>
      </c>
      <c r="AD39" s="12">
        <f t="shared" si="92"/>
        <v>0.06</v>
      </c>
      <c r="AE39" s="12">
        <f t="shared" si="92"/>
        <v>0.06</v>
      </c>
      <c r="AF39" s="12">
        <f t="shared" si="92"/>
        <v>0.06</v>
      </c>
      <c r="AG39" s="12">
        <f t="shared" si="92"/>
        <v>0.06</v>
      </c>
      <c r="AH39" s="12">
        <f t="shared" si="92"/>
        <v>0.06</v>
      </c>
      <c r="AI39" s="12">
        <f t="shared" si="92"/>
        <v>0.06</v>
      </c>
      <c r="AJ39" s="12">
        <f t="shared" si="92"/>
        <v>0.06</v>
      </c>
      <c r="AK39" s="12">
        <f t="shared" si="92"/>
        <v>0.06</v>
      </c>
      <c r="AL39" s="12">
        <f t="shared" si="92"/>
        <v>6.0000000000000005E-2</v>
      </c>
      <c r="AM39" s="12">
        <f t="shared" si="92"/>
        <v>5.9999999999999991E-2</v>
      </c>
    </row>
    <row r="40" spans="2:42">
      <c r="AO40" t="s">
        <v>86</v>
      </c>
      <c r="AP40" s="11">
        <v>-0.01</v>
      </c>
    </row>
    <row r="41" spans="2:42" s="1" customFormat="1">
      <c r="B41" s="1" t="s">
        <v>65</v>
      </c>
      <c r="G41" s="12">
        <f t="shared" ref="G41:R41" si="93">G20/C20-1</f>
        <v>0.24036852966079758</v>
      </c>
      <c r="H41" s="12">
        <f t="shared" si="93"/>
        <v>0.25345249361307398</v>
      </c>
      <c r="I41" s="12">
        <f t="shared" si="93"/>
        <v>0.27435196596018629</v>
      </c>
      <c r="J41" s="12">
        <f t="shared" si="93"/>
        <v>0.2633510036333313</v>
      </c>
      <c r="K41" s="12">
        <f t="shared" si="93"/>
        <v>0.2385974526194623</v>
      </c>
      <c r="L41" s="12">
        <f t="shared" si="93"/>
        <v>0.22701090042054384</v>
      </c>
      <c r="M41" s="12">
        <f t="shared" si="93"/>
        <v>0.23337273454838536</v>
      </c>
      <c r="N41" s="12">
        <f t="shared" si="93"/>
        <v>0.22805860736781414</v>
      </c>
      <c r="O41" s="12">
        <f t="shared" si="93"/>
        <v>0.24661531253953073</v>
      </c>
      <c r="P41" s="12">
        <f t="shared" si="93"/>
        <v>0.22803442464069312</v>
      </c>
      <c r="Q41" s="12">
        <f t="shared" si="93"/>
        <v>0.24530924350894945</v>
      </c>
      <c r="R41" s="12">
        <f t="shared" si="93"/>
        <v>0.30509139032749366</v>
      </c>
      <c r="S41" s="12"/>
      <c r="T41" s="12" t="e">
        <f t="shared" ref="T41:W41" si="94">T20/S20-1</f>
        <v>#DIV/0!</v>
      </c>
      <c r="U41" s="12">
        <f t="shared" si="94"/>
        <v>0.12628967879380015</v>
      </c>
      <c r="V41" s="12">
        <f t="shared" si="94"/>
        <v>0.21203109094828276</v>
      </c>
      <c r="W41" s="12">
        <f t="shared" si="94"/>
        <v>0.25833306283006174</v>
      </c>
      <c r="X41" s="12">
        <f>X20/W20-1</f>
        <v>0.23159576184233854</v>
      </c>
      <c r="Y41" s="12">
        <f t="shared" ref="Y41:AM41" si="95">Y20/X20-1</f>
        <v>0.25749973707543194</v>
      </c>
      <c r="Z41" s="12">
        <f t="shared" si="95"/>
        <v>0.2373599294050992</v>
      </c>
      <c r="AA41" s="12">
        <f t="shared" si="95"/>
        <v>0.22967792827252831</v>
      </c>
      <c r="AB41" s="12">
        <f t="shared" si="95"/>
        <v>0.19843321301111794</v>
      </c>
      <c r="AC41" s="12">
        <f t="shared" si="95"/>
        <v>0.17992430591633735</v>
      </c>
      <c r="AD41" s="12">
        <f t="shared" si="95"/>
        <v>0.10567485776486119</v>
      </c>
      <c r="AE41" s="12">
        <f t="shared" si="95"/>
        <v>0.10719837458615777</v>
      </c>
      <c r="AF41" s="12">
        <f t="shared" si="95"/>
        <v>0.10850818478294899</v>
      </c>
      <c r="AG41" s="12">
        <f t="shared" si="95"/>
        <v>0.10965006613316741</v>
      </c>
      <c r="AH41" s="12">
        <f t="shared" si="95"/>
        <v>0.11066000731946302</v>
      </c>
      <c r="AI41" s="12">
        <f t="shared" si="95"/>
        <v>5.4032651364993578E-2</v>
      </c>
      <c r="AJ41" s="12">
        <f t="shared" si="95"/>
        <v>5.4572960434107642E-2</v>
      </c>
      <c r="AK41" s="12">
        <f t="shared" si="95"/>
        <v>5.5078888434653361E-2</v>
      </c>
      <c r="AL41" s="12">
        <f t="shared" si="95"/>
        <v>5.5556037824850302E-2</v>
      </c>
      <c r="AM41" s="12">
        <f t="shared" si="95"/>
        <v>5.6008942426381658E-2</v>
      </c>
      <c r="AO41" s="9" t="s">
        <v>87</v>
      </c>
      <c r="AP41" s="18">
        <v>7.0000000000000007E-2</v>
      </c>
    </row>
    <row r="42" spans="2:42">
      <c r="B42" s="9" t="s">
        <v>68</v>
      </c>
      <c r="D42" s="12">
        <f>D20/C20-1</f>
        <v>4.4348368736699895E-2</v>
      </c>
      <c r="E42" s="12">
        <f t="shared" ref="E42:R42" si="96">E20/D20-1</f>
        <v>3.4250943544435364E-2</v>
      </c>
      <c r="F42" s="12">
        <f t="shared" si="96"/>
        <v>6.2595897464645001E-2</v>
      </c>
      <c r="G42" s="12">
        <f t="shared" si="96"/>
        <v>8.07152642461475E-2</v>
      </c>
      <c r="H42" s="12">
        <f t="shared" si="96"/>
        <v>5.5364624053904965E-2</v>
      </c>
      <c r="I42" s="12">
        <f t="shared" si="96"/>
        <v>5.1495553216299061E-2</v>
      </c>
      <c r="J42" s="12">
        <f t="shared" si="96"/>
        <v>5.3422939169821548E-2</v>
      </c>
      <c r="K42" s="12">
        <f t="shared" si="96"/>
        <v>5.9540198608768691E-2</v>
      </c>
      <c r="L42" s="12">
        <f t="shared" si="96"/>
        <v>4.5492137008471545E-2</v>
      </c>
      <c r="M42" s="12">
        <f t="shared" si="96"/>
        <v>5.6947371365129396E-2</v>
      </c>
      <c r="N42" s="12">
        <f t="shared" si="96"/>
        <v>4.8884146218695301E-2</v>
      </c>
      <c r="O42" s="12">
        <f t="shared" si="96"/>
        <v>7.5550489131716247E-2</v>
      </c>
      <c r="P42" s="12">
        <f t="shared" si="96"/>
        <v>2.9909004023126684E-2</v>
      </c>
      <c r="Q42" s="12">
        <f t="shared" si="96"/>
        <v>7.1815500488589867E-2</v>
      </c>
      <c r="R42" s="12">
        <f t="shared" si="96"/>
        <v>9.9236736430106998E-2</v>
      </c>
      <c r="AO42" t="s">
        <v>88</v>
      </c>
      <c r="AP42" s="19">
        <f>NPV(AP41,Y31:DJ31)</f>
        <v>32545.285228610945</v>
      </c>
    </row>
    <row r="43" spans="2:42">
      <c r="B43" s="9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AO43" t="s">
        <v>64</v>
      </c>
      <c r="AP43" s="2">
        <f>Main!D8</f>
        <v>-60.700000000000273</v>
      </c>
    </row>
    <row r="44" spans="2:42" s="1" customFormat="1">
      <c r="B44" s="1" t="s">
        <v>36</v>
      </c>
      <c r="C44" s="12">
        <f>C30/C29</f>
        <v>-1.8913978494623451</v>
      </c>
      <c r="D44" s="12">
        <f t="shared" ref="D44:AM44" si="97">D30/D29</f>
        <v>0.36823940491757517</v>
      </c>
      <c r="E44" s="12">
        <f t="shared" si="97"/>
        <v>0.3570144066597965</v>
      </c>
      <c r="F44" s="12">
        <f t="shared" si="97"/>
        <v>0.34569752986325059</v>
      </c>
      <c r="G44" s="12">
        <f t="shared" si="97"/>
        <v>0.40282649757150618</v>
      </c>
      <c r="H44" s="12">
        <f t="shared" si="97"/>
        <v>0.39493235183859821</v>
      </c>
      <c r="I44" s="12">
        <f t="shared" si="97"/>
        <v>0.39207685288659683</v>
      </c>
      <c r="J44" s="12">
        <f t="shared" si="97"/>
        <v>-0.83168556112136249</v>
      </c>
      <c r="K44" s="12">
        <f t="shared" si="97"/>
        <v>0.38333420080154013</v>
      </c>
      <c r="L44" s="12">
        <f t="shared" si="97"/>
        <v>0.34959249197332665</v>
      </c>
      <c r="M44" s="12">
        <f t="shared" si="97"/>
        <v>0.30318670391590535</v>
      </c>
      <c r="N44" s="12">
        <f t="shared" si="97"/>
        <v>-1.0829313006561061</v>
      </c>
      <c r="O44" s="12">
        <f t="shared" si="97"/>
        <v>0.3</v>
      </c>
      <c r="P44" s="12">
        <f t="shared" si="97"/>
        <v>0.3</v>
      </c>
      <c r="Q44" s="12">
        <f t="shared" si="97"/>
        <v>0.3</v>
      </c>
      <c r="R44" s="12">
        <f t="shared" si="97"/>
        <v>0.3</v>
      </c>
      <c r="T44" s="12">
        <f t="shared" si="97"/>
        <v>0.37103709925957218</v>
      </c>
      <c r="U44" s="12">
        <f t="shared" si="97"/>
        <v>0.43727034120734615</v>
      </c>
      <c r="V44" s="12">
        <f t="shared" si="97"/>
        <v>0.34295684908285323</v>
      </c>
      <c r="W44" s="12">
        <f t="shared" si="97"/>
        <v>0.23634037364505703</v>
      </c>
      <c r="X44" s="12">
        <f t="shared" si="97"/>
        <v>0.13563383656841535</v>
      </c>
      <c r="Y44" s="12">
        <f t="shared" si="97"/>
        <v>0.35974875427996172</v>
      </c>
      <c r="Z44" s="12">
        <f t="shared" si="97"/>
        <v>0.3</v>
      </c>
      <c r="AA44" s="12">
        <f t="shared" si="97"/>
        <v>0.3</v>
      </c>
      <c r="AB44" s="12">
        <f t="shared" si="97"/>
        <v>0.3</v>
      </c>
      <c r="AC44" s="12">
        <f t="shared" si="97"/>
        <v>0.3</v>
      </c>
      <c r="AD44" s="12">
        <f t="shared" si="97"/>
        <v>0.3</v>
      </c>
      <c r="AE44" s="12">
        <f t="shared" si="97"/>
        <v>0.3</v>
      </c>
      <c r="AF44" s="12">
        <f t="shared" si="97"/>
        <v>0.3</v>
      </c>
      <c r="AG44" s="12">
        <f t="shared" si="97"/>
        <v>0.3</v>
      </c>
      <c r="AH44" s="12">
        <f t="shared" si="97"/>
        <v>0.3</v>
      </c>
      <c r="AI44" s="12">
        <f t="shared" si="97"/>
        <v>0.3</v>
      </c>
      <c r="AJ44" s="12">
        <f t="shared" si="97"/>
        <v>0.3</v>
      </c>
      <c r="AK44" s="12">
        <f t="shared" si="97"/>
        <v>0.3</v>
      </c>
      <c r="AL44" s="12">
        <f t="shared" si="97"/>
        <v>0.3</v>
      </c>
      <c r="AM44" s="12">
        <f t="shared" si="97"/>
        <v>0.3</v>
      </c>
      <c r="AO44" s="9" t="s">
        <v>89</v>
      </c>
      <c r="AP44" s="20">
        <f>AP42+AP43</f>
        <v>32484.585228610944</v>
      </c>
    </row>
    <row r="45" spans="2:42">
      <c r="AO45" s="9" t="s">
        <v>90</v>
      </c>
      <c r="AP45" s="19">
        <f>AP44/AM32</f>
        <v>75.898563618249867</v>
      </c>
    </row>
    <row r="46" spans="2:42" s="1" customFormat="1">
      <c r="B46" s="1" t="s">
        <v>64</v>
      </c>
      <c r="T46" s="7">
        <f>T48-T61</f>
        <v>397.81099999999992</v>
      </c>
      <c r="U46" s="7">
        <f t="shared" ref="U46:X46" si="98">U48-U61</f>
        <v>348.07799999999997</v>
      </c>
      <c r="V46" s="7">
        <f t="shared" si="98"/>
        <v>700.40499999999997</v>
      </c>
      <c r="W46" s="7">
        <f t="shared" si="98"/>
        <v>722.75099999999986</v>
      </c>
      <c r="X46" s="7">
        <f t="shared" si="98"/>
        <v>-60.690000000000055</v>
      </c>
      <c r="AO46" s="9" t="s">
        <v>91</v>
      </c>
      <c r="AP46" s="9">
        <f>Main!D3</f>
        <v>100</v>
      </c>
    </row>
    <row r="47" spans="2:42">
      <c r="AO47" s="1" t="s">
        <v>92</v>
      </c>
      <c r="AP47" s="12">
        <f>AP45/AP46-1</f>
        <v>-0.2410143638175013</v>
      </c>
    </row>
    <row r="48" spans="2:42">
      <c r="B48" t="s">
        <v>4</v>
      </c>
      <c r="J48" s="6">
        <f>1113.6+495</f>
        <v>1608.6</v>
      </c>
      <c r="N48" s="6">
        <f>1809.33+501.38</f>
        <v>2310.71</v>
      </c>
      <c r="T48" s="6">
        <f>508.053+289.758</f>
        <v>797.81099999999992</v>
      </c>
      <c r="U48" s="6">
        <f>290.291+457.787</f>
        <v>748.07799999999997</v>
      </c>
      <c r="V48" s="6">
        <v>1200.405</v>
      </c>
      <c r="W48" s="6">
        <f>1113.6+495</f>
        <v>1608.6</v>
      </c>
      <c r="X48" s="6">
        <f>1809.33+501.38</f>
        <v>2310.71</v>
      </c>
    </row>
    <row r="49" spans="2:24">
      <c r="B49" t="s">
        <v>39</v>
      </c>
      <c r="J49" s="6">
        <v>2166.1</v>
      </c>
      <c r="N49" s="6">
        <v>2905.998</v>
      </c>
      <c r="T49" s="6">
        <f>919.709+56.007</f>
        <v>975.71599999999989</v>
      </c>
      <c r="U49" s="6">
        <f>1368.162+59.929</f>
        <v>1428.0910000000001</v>
      </c>
      <c r="V49" s="6">
        <v>1706.421</v>
      </c>
      <c r="W49" s="6">
        <v>2166.1</v>
      </c>
      <c r="X49" s="6">
        <v>2905.998</v>
      </c>
    </row>
    <row r="50" spans="2:24">
      <c r="B50" t="s">
        <v>40</v>
      </c>
      <c r="J50" s="6">
        <v>152.4</v>
      </c>
      <c r="N50" s="6">
        <v>215.12700000000001</v>
      </c>
      <c r="T50" s="6">
        <v>57.33</v>
      </c>
      <c r="U50" s="6">
        <v>64.622</v>
      </c>
      <c r="V50" s="6">
        <v>151.93700000000001</v>
      </c>
      <c r="W50" s="6">
        <v>152.4</v>
      </c>
      <c r="X50" s="6">
        <v>215.12700000000001</v>
      </c>
    </row>
    <row r="51" spans="2:24">
      <c r="B51" t="s">
        <v>41</v>
      </c>
      <c r="J51" s="6">
        <v>2773.3</v>
      </c>
      <c r="N51" s="6">
        <v>4312.8</v>
      </c>
      <c r="T51" s="6">
        <v>1046.934</v>
      </c>
      <c r="U51" s="6">
        <v>1506.008</v>
      </c>
      <c r="V51" s="6">
        <v>2091.0709999999999</v>
      </c>
      <c r="W51" s="6">
        <v>2773.3</v>
      </c>
      <c r="X51" s="6">
        <v>4312.8</v>
      </c>
    </row>
    <row r="52" spans="2:24">
      <c r="B52" t="s">
        <v>42</v>
      </c>
      <c r="J52" s="6">
        <v>149.9</v>
      </c>
      <c r="N52" s="6">
        <v>173.4</v>
      </c>
      <c r="T52" s="6">
        <v>136.35300000000001</v>
      </c>
      <c r="U52" s="6">
        <v>131.68100000000001</v>
      </c>
      <c r="V52" s="6">
        <v>133.60499999999999</v>
      </c>
      <c r="W52" s="6">
        <v>149.9</v>
      </c>
      <c r="X52" s="6">
        <v>173.4</v>
      </c>
    </row>
    <row r="53" spans="2:24">
      <c r="B53" t="s">
        <v>43</v>
      </c>
      <c r="J53" s="6">
        <v>192.2</v>
      </c>
      <c r="N53" s="6">
        <v>284.8</v>
      </c>
      <c r="T53" s="6">
        <v>55.052</v>
      </c>
      <c r="U53" s="6">
        <v>89.41</v>
      </c>
      <c r="V53" s="6">
        <v>129.124</v>
      </c>
      <c r="W53" s="6">
        <v>192.2</v>
      </c>
      <c r="X53" s="6">
        <v>284.8</v>
      </c>
    </row>
    <row r="54" spans="2:24" s="1" customFormat="1">
      <c r="B54" s="1" t="s">
        <v>44</v>
      </c>
      <c r="J54" s="7">
        <f>SUM(J48:J53)</f>
        <v>7042.4999999999991</v>
      </c>
      <c r="N54" s="7">
        <f>SUM(N48:N53)</f>
        <v>10202.835000000001</v>
      </c>
      <c r="T54" s="7">
        <f>SUM(T48:T53)</f>
        <v>3069.1959999999999</v>
      </c>
      <c r="U54" s="7">
        <f>SUM(U48:U53)</f>
        <v>3967.89</v>
      </c>
      <c r="V54" s="7">
        <f>SUM(V48:V53)</f>
        <v>5412.5629999999992</v>
      </c>
      <c r="W54" s="7">
        <f>SUM(W48:W53)</f>
        <v>7042.4999999999991</v>
      </c>
      <c r="X54" s="7">
        <f>SUM(X48:X53)</f>
        <v>10202.835000000001</v>
      </c>
    </row>
    <row r="55" spans="2:24">
      <c r="J55" s="6"/>
      <c r="N55" s="6"/>
      <c r="T55" s="6"/>
      <c r="U55" s="6"/>
      <c r="V55" s="6"/>
      <c r="W55" s="6"/>
      <c r="X55" s="6"/>
    </row>
    <row r="56" spans="2:24">
      <c r="B56" t="s">
        <v>45</v>
      </c>
      <c r="J56" s="6">
        <v>2117.1999999999998</v>
      </c>
      <c r="N56" s="6">
        <v>2789</v>
      </c>
      <c r="T56" s="6">
        <v>935.03599999999994</v>
      </c>
      <c r="U56" s="6">
        <v>1366.847</v>
      </c>
      <c r="V56" s="6">
        <v>1775.9829999999999</v>
      </c>
      <c r="W56" s="6">
        <v>2117.1999999999998</v>
      </c>
      <c r="X56" s="6">
        <v>2789</v>
      </c>
    </row>
    <row r="57" spans="2:24">
      <c r="B57" t="s">
        <v>46</v>
      </c>
      <c r="J57" s="6">
        <v>201.6</v>
      </c>
      <c r="N57" s="6">
        <v>253.5</v>
      </c>
      <c r="T57" s="6">
        <v>86.992000000000004</v>
      </c>
      <c r="U57" s="6">
        <v>86.468000000000004</v>
      </c>
      <c r="V57" s="6">
        <v>108.435</v>
      </c>
      <c r="W57" s="6">
        <v>201.6</v>
      </c>
      <c r="X57" s="6">
        <v>253.5</v>
      </c>
    </row>
    <row r="58" spans="2:24">
      <c r="B58" t="s">
        <v>47</v>
      </c>
      <c r="J58" s="6">
        <v>69.8</v>
      </c>
      <c r="N58" s="6">
        <v>140.4</v>
      </c>
      <c r="T58" s="6">
        <v>54.231000000000002</v>
      </c>
      <c r="U58" s="6">
        <v>53.139000000000003</v>
      </c>
      <c r="V58" s="6">
        <v>54.018000000000001</v>
      </c>
      <c r="W58" s="6">
        <v>69.8</v>
      </c>
      <c r="X58" s="6">
        <v>140.4</v>
      </c>
    </row>
    <row r="59" spans="2:24">
      <c r="B59" t="s">
        <v>48</v>
      </c>
      <c r="J59" s="6">
        <v>274.60000000000002</v>
      </c>
      <c r="N59" s="6">
        <v>346.7</v>
      </c>
      <c r="T59" s="6">
        <v>148.79599999999999</v>
      </c>
      <c r="U59" s="6">
        <v>169.47200000000001</v>
      </c>
      <c r="V59" s="6">
        <v>215.767</v>
      </c>
      <c r="W59" s="6">
        <v>274.60000000000002</v>
      </c>
      <c r="X59" s="6">
        <v>346.7</v>
      </c>
    </row>
    <row r="60" spans="2:24">
      <c r="B60" t="s">
        <v>49</v>
      </c>
      <c r="J60" s="6">
        <v>1575.8</v>
      </c>
      <c r="N60" s="6">
        <v>2026.3</v>
      </c>
      <c r="T60" s="6">
        <v>739.62800000000004</v>
      </c>
      <c r="U60" s="6">
        <v>1076.6220000000001</v>
      </c>
      <c r="V60" s="6">
        <v>1345.59</v>
      </c>
      <c r="W60" s="6">
        <v>1575.8</v>
      </c>
      <c r="X60" s="6">
        <v>2026.3</v>
      </c>
    </row>
    <row r="61" spans="2:24">
      <c r="B61" t="s">
        <v>50</v>
      </c>
      <c r="J61" s="6">
        <v>885.84900000000005</v>
      </c>
      <c r="N61" s="6">
        <v>2371.4</v>
      </c>
      <c r="T61" s="6">
        <v>400</v>
      </c>
      <c r="U61" s="6">
        <v>400</v>
      </c>
      <c r="V61" s="6">
        <v>500</v>
      </c>
      <c r="W61" s="6">
        <v>885.84900000000005</v>
      </c>
      <c r="X61" s="6">
        <v>2371.4</v>
      </c>
    </row>
    <row r="62" spans="2:24">
      <c r="B62" t="s">
        <v>51</v>
      </c>
      <c r="J62" s="6">
        <v>59.957000000000001</v>
      </c>
      <c r="N62" s="6">
        <v>52.1</v>
      </c>
      <c r="T62" s="6">
        <v>61.703000000000003</v>
      </c>
      <c r="U62" s="6">
        <v>70.668999999999997</v>
      </c>
      <c r="V62" s="6">
        <v>79.209000000000003</v>
      </c>
      <c r="W62" s="6">
        <v>59.957000000000001</v>
      </c>
      <c r="X62" s="6">
        <v>52.1</v>
      </c>
    </row>
    <row r="63" spans="2:24" s="1" customFormat="1">
      <c r="B63" s="1" t="s">
        <v>52</v>
      </c>
      <c r="J63" s="7">
        <f>SUM(J56:J62)</f>
        <v>5184.8060000000005</v>
      </c>
      <c r="N63" s="7">
        <f>SUM(N56:N62)</f>
        <v>7979.4</v>
      </c>
      <c r="T63" s="7">
        <f>SUM(T56:T62)</f>
        <v>2426.386</v>
      </c>
      <c r="U63" s="7">
        <f>SUM(U56:U62)</f>
        <v>3223.2169999999996</v>
      </c>
      <c r="V63" s="7">
        <f>SUM(V56:V62)</f>
        <v>4079.0019999999995</v>
      </c>
      <c r="W63" s="7">
        <f>SUM(W56:W62)</f>
        <v>5184.8060000000005</v>
      </c>
      <c r="X63" s="7">
        <f>SUM(X56:X62)</f>
        <v>7979.4</v>
      </c>
    </row>
    <row r="64" spans="2:24" s="1" customFormat="1">
      <c r="B64" s="1" t="s">
        <v>53</v>
      </c>
      <c r="J64" s="7">
        <v>1857.7</v>
      </c>
      <c r="N64" s="7">
        <f>2223.4</f>
        <v>2223.4</v>
      </c>
      <c r="T64" s="7">
        <v>642.80999999999995</v>
      </c>
      <c r="U64" s="7">
        <v>744.673</v>
      </c>
      <c r="V64" s="7">
        <v>1333.5609999999999</v>
      </c>
      <c r="W64" s="7">
        <v>1857.7</v>
      </c>
      <c r="X64" s="7">
        <f>2223.4</f>
        <v>2223.4</v>
      </c>
    </row>
    <row r="65" spans="2:24" s="1" customFormat="1">
      <c r="B65" s="1" t="s">
        <v>54</v>
      </c>
      <c r="J65" s="7">
        <f>J63+J64</f>
        <v>7042.5060000000003</v>
      </c>
      <c r="N65" s="7">
        <f>N63+N64</f>
        <v>10202.799999999999</v>
      </c>
      <c r="T65" s="7">
        <f>T63+T64</f>
        <v>3069.1959999999999</v>
      </c>
      <c r="U65" s="7">
        <f>U63+U64</f>
        <v>3967.8899999999994</v>
      </c>
      <c r="V65" s="7">
        <f>V63+V64</f>
        <v>5412.5629999999992</v>
      </c>
      <c r="W65" s="7">
        <f>W63+W64</f>
        <v>7042.5060000000003</v>
      </c>
      <c r="X65" s="7">
        <f>X63+X64</f>
        <v>10202.799999999999</v>
      </c>
    </row>
    <row r="68" spans="2:24" s="1" customFormat="1">
      <c r="B68" s="1" t="s">
        <v>37</v>
      </c>
      <c r="C68" s="7"/>
      <c r="D68" s="7"/>
      <c r="E68" s="7"/>
      <c r="F68" s="7"/>
      <c r="G68" s="7">
        <f t="shared" ref="G68:L68" si="99">G31</f>
        <v>53.114999999999888</v>
      </c>
      <c r="H68" s="7">
        <f t="shared" si="99"/>
        <v>71.018000000000129</v>
      </c>
      <c r="I68" s="7">
        <f t="shared" si="99"/>
        <v>59.295000000000009</v>
      </c>
      <c r="J68" s="7">
        <f t="shared" si="99"/>
        <v>83.371000000000066</v>
      </c>
      <c r="K68" s="7">
        <f t="shared" si="99"/>
        <v>23.696000000000051</v>
      </c>
      <c r="L68" s="7">
        <f t="shared" si="99"/>
        <v>26.335000000000008</v>
      </c>
      <c r="M68" s="7">
        <f>M31</f>
        <v>29.431999999999967</v>
      </c>
      <c r="N68" s="7">
        <f>N31</f>
        <v>43.17500000000021</v>
      </c>
      <c r="T68" s="7">
        <f>T31</f>
        <v>226.12600000000023</v>
      </c>
      <c r="U68" s="7">
        <f>U31</f>
        <v>17.152000000000204</v>
      </c>
      <c r="V68" s="7">
        <f>V31</f>
        <v>112.40299999999991</v>
      </c>
      <c r="W68" s="7">
        <f>W31</f>
        <v>266.79900000000026</v>
      </c>
      <c r="X68" s="7">
        <f>X31</f>
        <v>122.63800000000066</v>
      </c>
    </row>
    <row r="69" spans="2:24">
      <c r="B69" s="9" t="s">
        <v>55</v>
      </c>
      <c r="C69" s="6"/>
      <c r="D69" s="6"/>
      <c r="E69" s="6"/>
      <c r="F69" s="6"/>
      <c r="G69" s="6"/>
      <c r="H69" s="6"/>
      <c r="I69" s="6"/>
      <c r="J69" s="6">
        <v>-1013.822</v>
      </c>
      <c r="K69" s="6"/>
      <c r="L69" s="6"/>
      <c r="M69" s="6">
        <v>-1304.4659999999999</v>
      </c>
      <c r="N69" s="6">
        <f>-1550.326</f>
        <v>-1550.326</v>
      </c>
      <c r="T69" s="6">
        <v>-2320.732</v>
      </c>
      <c r="U69" s="6">
        <v>-2515.5059999999999</v>
      </c>
      <c r="V69" s="6">
        <v>-3049.7579999999998</v>
      </c>
      <c r="W69" s="6">
        <v>-5771.6620000000003</v>
      </c>
      <c r="X69" s="6">
        <v>-5771.6620000000003</v>
      </c>
    </row>
    <row r="70" spans="2:24">
      <c r="B70" s="9" t="s">
        <v>56</v>
      </c>
      <c r="C70" s="6"/>
      <c r="D70" s="6"/>
      <c r="E70" s="6"/>
      <c r="F70" s="6"/>
      <c r="G70" s="6"/>
      <c r="H70" s="6"/>
      <c r="I70" s="6"/>
      <c r="J70" s="6">
        <v>125.77</v>
      </c>
      <c r="K70" s="6"/>
      <c r="L70" s="6"/>
      <c r="M70" s="6">
        <v>104.684</v>
      </c>
      <c r="N70" s="6">
        <v>240.25</v>
      </c>
      <c r="T70" s="6">
        <v>1463.9549999999999</v>
      </c>
      <c r="U70" s="6">
        <v>762.08900000000006</v>
      </c>
      <c r="V70" s="6">
        <v>673.78499999999997</v>
      </c>
      <c r="W70" s="6">
        <v>1162.413</v>
      </c>
      <c r="X70" s="6">
        <v>1162.413</v>
      </c>
    </row>
    <row r="71" spans="2:24">
      <c r="B71" s="9" t="s">
        <v>57</v>
      </c>
      <c r="C71" s="6"/>
      <c r="D71" s="6"/>
      <c r="E71" s="6"/>
      <c r="F71" s="6"/>
      <c r="G71" s="6"/>
      <c r="H71" s="6"/>
      <c r="I71" s="6"/>
      <c r="J71" s="6">
        <f>730.353+20.178+14.312</f>
        <v>764.84299999999996</v>
      </c>
      <c r="K71" s="6"/>
      <c r="L71" s="6"/>
      <c r="M71" s="6">
        <f>871.403+18.589+16.047</f>
        <v>906.03899999999999</v>
      </c>
      <c r="N71" s="6">
        <f>961.861+18.793+15.488</f>
        <v>996.14200000000005</v>
      </c>
      <c r="T71" s="6">
        <f>699.128+96.744+43.747</f>
        <v>839.61900000000003</v>
      </c>
      <c r="U71" s="6">
        <f>1591.218+65.396+45.469</f>
        <v>1702.0830000000001</v>
      </c>
      <c r="V71" s="6">
        <f>2121.981+71.325+48.374</f>
        <v>2241.6799999999998</v>
      </c>
      <c r="W71" s="6">
        <f>3405.382+79.38+62.283</f>
        <v>3547.0450000000001</v>
      </c>
      <c r="X71" s="6">
        <f>3405.382+79.38+62.283</f>
        <v>3547.0450000000001</v>
      </c>
    </row>
    <row r="72" spans="2:24">
      <c r="B72" s="9" t="s">
        <v>58</v>
      </c>
      <c r="C72" s="6"/>
      <c r="D72" s="6"/>
      <c r="E72" s="6"/>
      <c r="F72" s="6"/>
      <c r="G72" s="6"/>
      <c r="H72" s="6"/>
      <c r="I72" s="6"/>
      <c r="J72" s="6">
        <v>30.251000000000001</v>
      </c>
      <c r="K72" s="6"/>
      <c r="L72" s="6"/>
      <c r="M72" s="6">
        <v>32.834000000000003</v>
      </c>
      <c r="N72" s="6">
        <v>35.86</v>
      </c>
      <c r="T72" s="6">
        <v>61.582000000000001</v>
      </c>
      <c r="U72" s="6">
        <v>73.947999999999993</v>
      </c>
      <c r="V72" s="6">
        <v>73.099999999999994</v>
      </c>
      <c r="W72" s="6">
        <v>124.72499999999999</v>
      </c>
      <c r="X72" s="6">
        <v>124.72499999999999</v>
      </c>
    </row>
    <row r="73" spans="2:24">
      <c r="B73" s="9" t="s">
        <v>59</v>
      </c>
      <c r="C73" s="6"/>
      <c r="D73" s="6"/>
      <c r="E73" s="6"/>
      <c r="F73" s="6"/>
      <c r="G73" s="6"/>
      <c r="H73" s="6"/>
      <c r="I73" s="6"/>
      <c r="J73" s="6">
        <v>-20.920999999999999</v>
      </c>
      <c r="K73" s="6"/>
      <c r="L73" s="6"/>
      <c r="M73" s="6">
        <v>-37.725999999999999</v>
      </c>
      <c r="N73" s="6">
        <v>25.683</v>
      </c>
      <c r="T73" s="6">
        <v>-45.783999999999999</v>
      </c>
      <c r="U73" s="6">
        <v>-4.5430000000000001</v>
      </c>
      <c r="V73" s="6">
        <v>-81.662999999999997</v>
      </c>
      <c r="W73" s="6">
        <v>-80.471000000000004</v>
      </c>
      <c r="X73" s="6">
        <v>-80.471000000000004</v>
      </c>
    </row>
    <row r="74" spans="2:24">
      <c r="B74" s="9" t="s">
        <v>60</v>
      </c>
      <c r="C74" s="6"/>
      <c r="D74" s="6"/>
      <c r="E74" s="6"/>
      <c r="F74" s="6"/>
      <c r="G74" s="6"/>
      <c r="H74" s="6"/>
      <c r="I74" s="6"/>
      <c r="J74" s="6">
        <v>6.4749999999999996</v>
      </c>
      <c r="K74" s="6"/>
      <c r="L74" s="6"/>
      <c r="M74" s="6">
        <v>10.866</v>
      </c>
      <c r="N74" s="6">
        <v>7.774</v>
      </c>
      <c r="T74" s="6">
        <v>-4.05</v>
      </c>
      <c r="U74" s="6">
        <v>-8.3919999999999995</v>
      </c>
      <c r="V74" s="6">
        <v>5.3319999999999999</v>
      </c>
      <c r="W74" s="6">
        <v>31.628</v>
      </c>
      <c r="X74" s="6">
        <v>31.628</v>
      </c>
    </row>
    <row r="75" spans="2:24">
      <c r="B75" s="9" t="s">
        <v>61</v>
      </c>
      <c r="C75" s="6"/>
      <c r="D75" s="6"/>
      <c r="E75" s="6"/>
      <c r="F75" s="6"/>
      <c r="G75" s="6"/>
      <c r="H75" s="6"/>
      <c r="I75" s="6"/>
      <c r="J75" s="6">
        <v>7.5010000000000003</v>
      </c>
      <c r="K75" s="6"/>
      <c r="L75" s="6"/>
      <c r="M75" s="6">
        <v>-29.417000000000002</v>
      </c>
      <c r="N75" s="6">
        <v>12.036</v>
      </c>
      <c r="T75" s="6">
        <v>-18.597000000000001</v>
      </c>
      <c r="U75" s="6">
        <v>-30.071000000000002</v>
      </c>
      <c r="V75" s="6">
        <v>-22.044</v>
      </c>
      <c r="W75" s="6">
        <v>-58.655000000000001</v>
      </c>
      <c r="X75" s="6">
        <v>-58.655000000000001</v>
      </c>
    </row>
    <row r="76" spans="2:24">
      <c r="B76" s="9" t="s">
        <v>62</v>
      </c>
      <c r="C76" s="6"/>
      <c r="D76" s="6"/>
      <c r="E76" s="6"/>
      <c r="F76" s="6"/>
      <c r="G76" s="6"/>
      <c r="H76" s="6"/>
      <c r="I76" s="6"/>
      <c r="J76" s="6">
        <f>-30.539+51.083+4.05+21.63-68.153</f>
        <v>-21.929000000000009</v>
      </c>
      <c r="K76" s="6"/>
      <c r="L76" s="6"/>
      <c r="M76" s="6">
        <f>66.695+6.762+10.883+27.985-20.54</f>
        <v>91.784999999999997</v>
      </c>
      <c r="N76" s="6">
        <f>-62.755+49.031-39.619+16.982-18.981</f>
        <v>-55.342000000000006</v>
      </c>
      <c r="T76" s="6">
        <f>6.211-4.775+23.968+65.56+21.613+3.016</f>
        <v>115.593</v>
      </c>
      <c r="U76" s="6">
        <f>-3.922-1.51-3.764+9.806+20.676+4.719</f>
        <v>26.004999999999999</v>
      </c>
      <c r="V76" s="6">
        <f>25.129+62.234+18.374+1.941+46.295-8.977</f>
        <v>144.99600000000001</v>
      </c>
      <c r="W76" s="6">
        <f>18.693+51.615+48.81+72.135-18.366</f>
        <v>172.887</v>
      </c>
      <c r="X76" s="6">
        <f>18.693+51.615+48.81+72.135-18.366</f>
        <v>172.887</v>
      </c>
    </row>
    <row r="77" spans="2:24" s="1" customFormat="1">
      <c r="B77" s="1" t="s">
        <v>63</v>
      </c>
      <c r="J77" s="7">
        <f>J68+SUM(J69:J76)</f>
        <v>-38.460999999999984</v>
      </c>
      <c r="M77" s="7">
        <f>M68+SUM(M69:M76)</f>
        <v>-195.96899999999997</v>
      </c>
      <c r="N77" s="7">
        <f>N68+SUM(N69:N76)</f>
        <v>-244.74799999999973</v>
      </c>
      <c r="T77" s="7">
        <f>T68+SUM(T69:T76)</f>
        <v>317.71200000000022</v>
      </c>
      <c r="U77" s="7">
        <f>U68+SUM(U69:U76)</f>
        <v>22.765000000000363</v>
      </c>
      <c r="V77" s="7">
        <f>V68+SUM(V69:V76)</f>
        <v>97.83099999999979</v>
      </c>
      <c r="W77" s="7">
        <f>W68+SUM(W69:W76)</f>
        <v>-605.29099999999949</v>
      </c>
      <c r="X77" s="7">
        <f>X68+SUM(X69:X76)</f>
        <v>-749.45199999999909</v>
      </c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2020-09-14T14:40:32Z</dcterms:created>
  <dcterms:modified xsi:type="dcterms:W3CDTF">2020-10-13T16:09:01Z</dcterms:modified>
</cp:coreProperties>
</file>