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7C050544-A418-4321-9C71-382CFA126660}" xr6:coauthVersionLast="47" xr6:coauthVersionMax="47" xr10:uidLastSave="{00000000-0000-0000-0000-000000000000}"/>
  <bookViews>
    <workbookView xWindow="-108" yWindow="-108" windowWidth="23256" windowHeight="12576" tabRatio="639" activeTab="1" xr2:uid="{0F574E5A-2072-44A4-9588-9F3B274273C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28" i="2" l="1"/>
  <c r="CA28" i="2"/>
  <c r="BZ28" i="2"/>
  <c r="BY28" i="2"/>
  <c r="BX28" i="2"/>
  <c r="BW28" i="2"/>
  <c r="BV28" i="2"/>
  <c r="BU28" i="2"/>
  <c r="BT28" i="2"/>
  <c r="AZ26" i="2"/>
  <c r="AZ28" i="2" s="1"/>
  <c r="AZ41" i="2" s="1"/>
  <c r="AZ30" i="2"/>
  <c r="BR30" i="2" s="1"/>
  <c r="BS30" i="2" s="1"/>
  <c r="AY28" i="2"/>
  <c r="BR33" i="2"/>
  <c r="D7" i="1"/>
  <c r="D6" i="1"/>
  <c r="BB28" i="2"/>
  <c r="BB29" i="2"/>
  <c r="BA28" i="2"/>
  <c r="BR34" i="2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BR31" i="2"/>
  <c r="BS31" i="2" s="1"/>
  <c r="BT31" i="2" s="1"/>
  <c r="BB26" i="2"/>
  <c r="BA26" i="2"/>
  <c r="AZ29" i="2"/>
  <c r="AZ43" i="2" s="1"/>
  <c r="BB34" i="2"/>
  <c r="BA34" i="2"/>
  <c r="AZ34" i="2"/>
  <c r="BB33" i="2"/>
  <c r="BA33" i="2"/>
  <c r="AZ33" i="2"/>
  <c r="BB31" i="2"/>
  <c r="BB45" i="2" s="1"/>
  <c r="BA31" i="2"/>
  <c r="AZ31" i="2"/>
  <c r="AY45" i="2"/>
  <c r="BB30" i="2"/>
  <c r="BB44" i="2" s="1"/>
  <c r="BA30" i="2"/>
  <c r="BA44" i="2" s="1"/>
  <c r="BA45" i="2"/>
  <c r="AZ45" i="2"/>
  <c r="BQ38" i="2"/>
  <c r="AX38" i="2"/>
  <c r="AX28" i="2"/>
  <c r="BQ31" i="2"/>
  <c r="AX44" i="2"/>
  <c r="AW28" i="2"/>
  <c r="AW32" i="2" s="1"/>
  <c r="AW35" i="2" s="1"/>
  <c r="BQ34" i="2"/>
  <c r="BQ33" i="2"/>
  <c r="AV45" i="2"/>
  <c r="AV43" i="2"/>
  <c r="AW47" i="2"/>
  <c r="BP38" i="2"/>
  <c r="BO38" i="2"/>
  <c r="BP36" i="2"/>
  <c r="BP34" i="2"/>
  <c r="BP33" i="2"/>
  <c r="BP31" i="2"/>
  <c r="BP30" i="2"/>
  <c r="BP29" i="2"/>
  <c r="BP27" i="2"/>
  <c r="BP26" i="2"/>
  <c r="BO36" i="2"/>
  <c r="BO34" i="2"/>
  <c r="BO33" i="2"/>
  <c r="BO31" i="2"/>
  <c r="BO30" i="2"/>
  <c r="BO29" i="2"/>
  <c r="BO27" i="2"/>
  <c r="BO26" i="2"/>
  <c r="BN38" i="2"/>
  <c r="BN36" i="2"/>
  <c r="BN34" i="2"/>
  <c r="BN33" i="2"/>
  <c r="BN31" i="2"/>
  <c r="BN30" i="2"/>
  <c r="BN29" i="2"/>
  <c r="BN27" i="2"/>
  <c r="AW45" i="2"/>
  <c r="AW44" i="2"/>
  <c r="AV44" i="2"/>
  <c r="AT48" i="2"/>
  <c r="AS48" i="2"/>
  <c r="AR48" i="2"/>
  <c r="AQ48" i="2"/>
  <c r="AP48" i="2"/>
  <c r="AO48" i="2"/>
  <c r="AN48" i="2"/>
  <c r="AM48" i="2"/>
  <c r="AT47" i="2"/>
  <c r="AS47" i="2"/>
  <c r="AR47" i="2"/>
  <c r="AQ47" i="2"/>
  <c r="AP47" i="2"/>
  <c r="AO47" i="2"/>
  <c r="AN47" i="2"/>
  <c r="AT45" i="2"/>
  <c r="AS45" i="2"/>
  <c r="AR45" i="2"/>
  <c r="AQ45" i="2"/>
  <c r="AP45" i="2"/>
  <c r="AO45" i="2"/>
  <c r="AN45" i="2"/>
  <c r="AM45" i="2"/>
  <c r="AT44" i="2"/>
  <c r="AS44" i="2"/>
  <c r="AR44" i="2"/>
  <c r="AQ44" i="2"/>
  <c r="AP44" i="2"/>
  <c r="AO44" i="2"/>
  <c r="AN44" i="2"/>
  <c r="AM44" i="2"/>
  <c r="AT43" i="2"/>
  <c r="AS43" i="2"/>
  <c r="AR43" i="2"/>
  <c r="AQ43" i="2"/>
  <c r="AP43" i="2"/>
  <c r="AO43" i="2"/>
  <c r="AN43" i="2"/>
  <c r="AM43" i="2"/>
  <c r="AT41" i="2"/>
  <c r="AM41" i="2"/>
  <c r="AJ28" i="2"/>
  <c r="AJ32" i="2" s="1"/>
  <c r="AJ35" i="2" s="1"/>
  <c r="AJ37" i="2" s="1"/>
  <c r="AJ39" i="2" s="1"/>
  <c r="AL28" i="2"/>
  <c r="AL32" i="2" s="1"/>
  <c r="AL35" i="2" s="1"/>
  <c r="AL37" i="2" s="1"/>
  <c r="AL39" i="2" s="1"/>
  <c r="AM28" i="2"/>
  <c r="AM32" i="2" s="1"/>
  <c r="AM35" i="2" s="1"/>
  <c r="AM37" i="2" s="1"/>
  <c r="AM39" i="2" s="1"/>
  <c r="AK28" i="2"/>
  <c r="AK32" i="2" s="1"/>
  <c r="AK35" i="2" s="1"/>
  <c r="AK37" i="2" s="1"/>
  <c r="AK39" i="2" s="1"/>
  <c r="AO28" i="2"/>
  <c r="AO32" i="2" s="1"/>
  <c r="AO35" i="2" s="1"/>
  <c r="AO37" i="2" s="1"/>
  <c r="AO39" i="2" s="1"/>
  <c r="AN28" i="2"/>
  <c r="AN32" i="2" s="1"/>
  <c r="AN35" i="2" s="1"/>
  <c r="AN37" i="2" s="1"/>
  <c r="AN39" i="2" s="1"/>
  <c r="AR28" i="2"/>
  <c r="AR32" i="2" s="1"/>
  <c r="AR35" i="2" s="1"/>
  <c r="AR37" i="2" s="1"/>
  <c r="AR39" i="2" s="1"/>
  <c r="AP28" i="2"/>
  <c r="AP32" i="2" s="1"/>
  <c r="AP35" i="2" s="1"/>
  <c r="AP37" i="2" s="1"/>
  <c r="AP39" i="2" s="1"/>
  <c r="AS28" i="2"/>
  <c r="AS32" i="2" s="1"/>
  <c r="AS35" i="2" s="1"/>
  <c r="AS37" i="2" s="1"/>
  <c r="AS39" i="2" s="1"/>
  <c r="AT28" i="2"/>
  <c r="AT32" i="2" s="1"/>
  <c r="AT35" i="2" s="1"/>
  <c r="AT37" i="2" s="1"/>
  <c r="AT39" i="2" s="1"/>
  <c r="AQ28" i="2"/>
  <c r="AQ32" i="2" s="1"/>
  <c r="AQ35" i="2" s="1"/>
  <c r="AQ37" i="2" s="1"/>
  <c r="AQ39" i="2" s="1"/>
  <c r="AU45" i="2"/>
  <c r="AU44" i="2"/>
  <c r="AU28" i="2"/>
  <c r="AL4" i="2"/>
  <c r="AL20" i="2" s="1"/>
  <c r="AK4" i="2"/>
  <c r="AK20" i="2" s="1"/>
  <c r="AJ4" i="2"/>
  <c r="AJ20" i="2" s="1"/>
  <c r="AJ45" i="2"/>
  <c r="AK45" i="2"/>
  <c r="AK44" i="2"/>
  <c r="AJ44" i="2"/>
  <c r="AI12" i="2"/>
  <c r="AL6" i="2"/>
  <c r="BN6" i="2" s="1"/>
  <c r="AK6" i="2"/>
  <c r="AK22" i="2" s="1"/>
  <c r="AJ6" i="2"/>
  <c r="AJ22" i="2" s="1"/>
  <c r="AL5" i="2"/>
  <c r="AL21" i="2" s="1"/>
  <c r="AK5" i="2"/>
  <c r="AK21" i="2" s="1"/>
  <c r="AJ5" i="2"/>
  <c r="AJ21" i="2" s="1"/>
  <c r="AI15" i="2"/>
  <c r="AL3" i="2"/>
  <c r="BN3" i="2" s="1"/>
  <c r="AK3" i="2"/>
  <c r="AK11" i="2" s="1"/>
  <c r="AJ3" i="2"/>
  <c r="AJ11" i="2" s="1"/>
  <c r="AI7" i="2"/>
  <c r="AL45" i="2"/>
  <c r="AI45" i="2"/>
  <c r="AL44" i="2"/>
  <c r="AI44" i="2"/>
  <c r="BE45" i="2"/>
  <c r="BE44" i="2"/>
  <c r="AG45" i="2"/>
  <c r="AF45" i="2"/>
  <c r="AE45" i="2"/>
  <c r="AC45" i="2"/>
  <c r="AB45" i="2"/>
  <c r="AA45" i="2"/>
  <c r="Y45" i="2"/>
  <c r="X45" i="2"/>
  <c r="W45" i="2"/>
  <c r="N45" i="2"/>
  <c r="M45" i="2"/>
  <c r="L45" i="2"/>
  <c r="K45" i="2"/>
  <c r="J45" i="2"/>
  <c r="I45" i="2"/>
  <c r="H45" i="2"/>
  <c r="G45" i="2"/>
  <c r="AG44" i="2"/>
  <c r="AF44" i="2"/>
  <c r="AE44" i="2"/>
  <c r="AC44" i="2"/>
  <c r="AB44" i="2"/>
  <c r="AA44" i="2"/>
  <c r="Y44" i="2"/>
  <c r="X44" i="2"/>
  <c r="W44" i="2"/>
  <c r="N44" i="2"/>
  <c r="M44" i="2"/>
  <c r="L44" i="2"/>
  <c r="K44" i="2"/>
  <c r="J44" i="2"/>
  <c r="I44" i="2"/>
  <c r="H44" i="2"/>
  <c r="G44" i="2"/>
  <c r="AI22" i="2"/>
  <c r="AI21" i="2"/>
  <c r="AI20" i="2"/>
  <c r="AI19" i="2"/>
  <c r="AK13" i="2"/>
  <c r="AK24" i="2" s="1"/>
  <c r="AJ13" i="2"/>
  <c r="AJ24" i="2" s="1"/>
  <c r="AI24" i="2"/>
  <c r="AH12" i="2"/>
  <c r="AH15" i="2"/>
  <c r="AL13" i="2"/>
  <c r="AL24" i="2" s="1"/>
  <c r="BM38" i="2"/>
  <c r="AG12" i="2"/>
  <c r="AG15" i="2"/>
  <c r="AZ47" i="2" l="1"/>
  <c r="AZ44" i="2"/>
  <c r="BR29" i="2"/>
  <c r="AY44" i="2"/>
  <c r="BU31" i="2"/>
  <c r="BV31" i="2" s="1"/>
  <c r="BW31" i="2" s="1"/>
  <c r="BX31" i="2" s="1"/>
  <c r="BY31" i="2" s="1"/>
  <c r="BZ31" i="2" s="1"/>
  <c r="CA31" i="2" s="1"/>
  <c r="CB31" i="2" s="1"/>
  <c r="BS33" i="2"/>
  <c r="BT33" i="2" s="1"/>
  <c r="BU33" i="2" s="1"/>
  <c r="BV33" i="2" s="1"/>
  <c r="BW33" i="2" s="1"/>
  <c r="BX33" i="2" s="1"/>
  <c r="BY33" i="2" s="1"/>
  <c r="BZ33" i="2" s="1"/>
  <c r="CA33" i="2" s="1"/>
  <c r="CB33" i="2" s="1"/>
  <c r="BR26" i="2"/>
  <c r="BS26" i="2" s="1"/>
  <c r="BS28" i="2" s="1"/>
  <c r="BB32" i="2"/>
  <c r="BB35" i="2" s="1"/>
  <c r="BB47" i="2"/>
  <c r="BA29" i="2"/>
  <c r="BA43" i="2" s="1"/>
  <c r="BA27" i="2"/>
  <c r="BA48" i="2"/>
  <c r="AZ32" i="2"/>
  <c r="AZ27" i="2"/>
  <c r="BB43" i="2"/>
  <c r="BA47" i="2"/>
  <c r="BB48" i="2"/>
  <c r="BA41" i="2"/>
  <c r="AZ48" i="2"/>
  <c r="AY47" i="2"/>
  <c r="AY41" i="2"/>
  <c r="AY48" i="2"/>
  <c r="AR41" i="2"/>
  <c r="AM42" i="2"/>
  <c r="AT42" i="2"/>
  <c r="AM49" i="2"/>
  <c r="AT49" i="2"/>
  <c r="AM50" i="2"/>
  <c r="AT50" i="2"/>
  <c r="AN41" i="2"/>
  <c r="AN42" i="2"/>
  <c r="AN49" i="2"/>
  <c r="AN50" i="2"/>
  <c r="AO41" i="2"/>
  <c r="AO42" i="2"/>
  <c r="AO49" i="2"/>
  <c r="AO50" i="2"/>
  <c r="AX43" i="2"/>
  <c r="AP41" i="2"/>
  <c r="AP42" i="2"/>
  <c r="AP49" i="2"/>
  <c r="AP50" i="2"/>
  <c r="AQ41" i="2"/>
  <c r="AQ42" i="2"/>
  <c r="AQ49" i="2"/>
  <c r="AQ50" i="2"/>
  <c r="AR42" i="2"/>
  <c r="AR49" i="2"/>
  <c r="AR50" i="2"/>
  <c r="AS41" i="2"/>
  <c r="AS42" i="2"/>
  <c r="AS49" i="2"/>
  <c r="AS50" i="2"/>
  <c r="AX45" i="2"/>
  <c r="BQ30" i="2"/>
  <c r="BQ26" i="2"/>
  <c r="AW42" i="2"/>
  <c r="AX48" i="2"/>
  <c r="AW43" i="2"/>
  <c r="AW41" i="2"/>
  <c r="AX47" i="2"/>
  <c r="AV47" i="2"/>
  <c r="AV48" i="2"/>
  <c r="AW48" i="2"/>
  <c r="AU41" i="2"/>
  <c r="AU32" i="2"/>
  <c r="AU47" i="2"/>
  <c r="AU48" i="2"/>
  <c r="AU43" i="2"/>
  <c r="BN5" i="2"/>
  <c r="AI16" i="2"/>
  <c r="AL19" i="2"/>
  <c r="BN13" i="2"/>
  <c r="AK7" i="2"/>
  <c r="AL7" i="2"/>
  <c r="AL12" i="2" s="1"/>
  <c r="BN4" i="2"/>
  <c r="AK19" i="2"/>
  <c r="AJ19" i="2"/>
  <c r="AL11" i="2"/>
  <c r="BQ6" i="2"/>
  <c r="BR6" i="2" s="1"/>
  <c r="BS6" i="2" s="1"/>
  <c r="BT6" i="2" s="1"/>
  <c r="AJ7" i="2"/>
  <c r="AJ12" i="2" s="1"/>
  <c r="AL22" i="2"/>
  <c r="AI9" i="2"/>
  <c r="F3" i="1"/>
  <c r="BM34" i="2"/>
  <c r="BM33" i="2"/>
  <c r="BM31" i="2"/>
  <c r="BM30" i="2"/>
  <c r="BM29" i="2"/>
  <c r="AG22" i="2"/>
  <c r="BM6" i="2"/>
  <c r="BM5" i="2"/>
  <c r="AG21" i="2"/>
  <c r="AH20" i="2"/>
  <c r="AG20" i="2"/>
  <c r="BM3" i="2"/>
  <c r="AF22" i="2"/>
  <c r="AE22" i="2"/>
  <c r="AD22" i="2"/>
  <c r="AC22" i="2"/>
  <c r="AB22" i="2"/>
  <c r="AA22" i="2"/>
  <c r="Z22" i="2"/>
  <c r="Y22" i="2"/>
  <c r="X22" i="2"/>
  <c r="W22" i="2"/>
  <c r="AF21" i="2"/>
  <c r="AE21" i="2"/>
  <c r="AD21" i="2"/>
  <c r="AC21" i="2"/>
  <c r="AB21" i="2"/>
  <c r="AA21" i="2"/>
  <c r="Z21" i="2"/>
  <c r="Y21" i="2"/>
  <c r="X21" i="2"/>
  <c r="W21" i="2"/>
  <c r="AF20" i="2"/>
  <c r="AE20" i="2"/>
  <c r="AD20" i="2"/>
  <c r="AC20" i="2"/>
  <c r="AB20" i="2"/>
  <c r="AA20" i="2"/>
  <c r="Z20" i="2"/>
  <c r="Y20" i="2"/>
  <c r="X20" i="2"/>
  <c r="W20" i="2"/>
  <c r="AH21" i="2"/>
  <c r="AH24" i="2"/>
  <c r="AG24" i="2"/>
  <c r="BJ12" i="2"/>
  <c r="BJ11" i="2"/>
  <c r="BK11" i="2"/>
  <c r="BL11" i="2"/>
  <c r="BL13" i="2"/>
  <c r="BM4" i="2"/>
  <c r="BL6" i="2"/>
  <c r="BL5" i="2"/>
  <c r="BL4" i="2"/>
  <c r="BK6" i="2"/>
  <c r="BK5" i="2"/>
  <c r="BK4" i="2"/>
  <c r="BJ6" i="2"/>
  <c r="BJ5" i="2"/>
  <c r="BJ4" i="2"/>
  <c r="BL3" i="2"/>
  <c r="BK3" i="2"/>
  <c r="BG3" i="2"/>
  <c r="BH3" i="2"/>
  <c r="BI3" i="2"/>
  <c r="BJ3" i="2"/>
  <c r="V36" i="2"/>
  <c r="V34" i="2"/>
  <c r="BJ34" i="2" s="1"/>
  <c r="V33" i="2"/>
  <c r="BJ33" i="2" s="1"/>
  <c r="V31" i="2"/>
  <c r="V30" i="2"/>
  <c r="V29" i="2"/>
  <c r="BJ29" i="2" s="1"/>
  <c r="V27" i="2"/>
  <c r="BJ27" i="2" s="1"/>
  <c r="Z36" i="2"/>
  <c r="Z34" i="2"/>
  <c r="BK34" i="2" s="1"/>
  <c r="Z33" i="2"/>
  <c r="BK33" i="2" s="1"/>
  <c r="Z31" i="2"/>
  <c r="Z30" i="2"/>
  <c r="Z29" i="2"/>
  <c r="BK29" i="2" s="1"/>
  <c r="Z27" i="2"/>
  <c r="BK27" i="2" s="1"/>
  <c r="AD36" i="2"/>
  <c r="AD34" i="2"/>
  <c r="BL34" i="2" s="1"/>
  <c r="AD33" i="2"/>
  <c r="BL33" i="2" s="1"/>
  <c r="AD31" i="2"/>
  <c r="AD29" i="2"/>
  <c r="BL29" i="2" s="1"/>
  <c r="AD30" i="2"/>
  <c r="AD27" i="2"/>
  <c r="BL27" i="2" s="1"/>
  <c r="V15" i="2"/>
  <c r="U15" i="2"/>
  <c r="T15" i="2"/>
  <c r="S15" i="2"/>
  <c r="U13" i="2"/>
  <c r="Y13" i="2" s="1"/>
  <c r="Y26" i="2" s="1"/>
  <c r="Y28" i="2" s="1"/>
  <c r="Y32" i="2" s="1"/>
  <c r="Y35" i="2" s="1"/>
  <c r="V13" i="2"/>
  <c r="Z13" i="2" s="1"/>
  <c r="T13" i="2"/>
  <c r="T24" i="2" s="1"/>
  <c r="S13" i="2"/>
  <c r="S24" i="2" s="1"/>
  <c r="R24" i="2"/>
  <c r="Q24" i="2"/>
  <c r="P24" i="2"/>
  <c r="O24" i="2"/>
  <c r="N24" i="2"/>
  <c r="M24" i="2"/>
  <c r="L24" i="2"/>
  <c r="K24" i="2"/>
  <c r="R23" i="2"/>
  <c r="V19" i="2"/>
  <c r="U19" i="2"/>
  <c r="T19" i="2"/>
  <c r="S19" i="2"/>
  <c r="Y7" i="2"/>
  <c r="Y9" i="2" s="1"/>
  <c r="X7" i="2"/>
  <c r="X9" i="2" s="1"/>
  <c r="W7" i="2"/>
  <c r="W9" i="2" s="1"/>
  <c r="V7" i="2"/>
  <c r="V9" i="2" s="1"/>
  <c r="U7" i="2"/>
  <c r="U16" i="2" s="1"/>
  <c r="T7" i="2"/>
  <c r="T9" i="2" s="1"/>
  <c r="S7" i="2"/>
  <c r="S9" i="2" s="1"/>
  <c r="AE24" i="2"/>
  <c r="AF24" i="2"/>
  <c r="AC19" i="2"/>
  <c r="AB19" i="2"/>
  <c r="AA12" i="2"/>
  <c r="Z12" i="2"/>
  <c r="BK12" i="2" s="1"/>
  <c r="AY32" i="2" l="1"/>
  <c r="AY35" i="2" s="1"/>
  <c r="AY43" i="2"/>
  <c r="BB41" i="2"/>
  <c r="BA32" i="2"/>
  <c r="BA35" i="2" s="1"/>
  <c r="BT26" i="2"/>
  <c r="BB42" i="2"/>
  <c r="BB36" i="2"/>
  <c r="BB49" i="2" s="1"/>
  <c r="BB37" i="2"/>
  <c r="BB27" i="2"/>
  <c r="BR27" i="2" s="1"/>
  <c r="BR28" i="2" s="1"/>
  <c r="BA42" i="2"/>
  <c r="AZ35" i="2"/>
  <c r="AZ42" i="2"/>
  <c r="BQ29" i="2"/>
  <c r="BT30" i="2"/>
  <c r="BU30" i="2" s="1"/>
  <c r="BV30" i="2" s="1"/>
  <c r="BW30" i="2" s="1"/>
  <c r="BX30" i="2" s="1"/>
  <c r="BY30" i="2" s="1"/>
  <c r="BZ30" i="2" s="1"/>
  <c r="CA30" i="2" s="1"/>
  <c r="CB30" i="2" s="1"/>
  <c r="AX41" i="2"/>
  <c r="AX32" i="2"/>
  <c r="AW49" i="2"/>
  <c r="AW37" i="2"/>
  <c r="BX45" i="2"/>
  <c r="AU42" i="2"/>
  <c r="AU35" i="2"/>
  <c r="BO44" i="2"/>
  <c r="BL15" i="2"/>
  <c r="BO45" i="2"/>
  <c r="BN45" i="2"/>
  <c r="BL21" i="2"/>
  <c r="BN44" i="2"/>
  <c r="BL20" i="2"/>
  <c r="BL30" i="2"/>
  <c r="AH44" i="2"/>
  <c r="AD44" i="2"/>
  <c r="BK30" i="2"/>
  <c r="Z44" i="2"/>
  <c r="BJ31" i="2"/>
  <c r="BL22" i="2"/>
  <c r="BJ36" i="2"/>
  <c r="BJ30" i="2"/>
  <c r="BL31" i="2"/>
  <c r="AD45" i="2"/>
  <c r="AH45" i="2"/>
  <c r="BK36" i="2"/>
  <c r="BL7" i="2"/>
  <c r="BK31" i="2"/>
  <c r="Z45" i="2"/>
  <c r="Y37" i="2"/>
  <c r="Y49" i="2"/>
  <c r="BL36" i="2"/>
  <c r="AK9" i="2"/>
  <c r="AK12" i="2"/>
  <c r="AL9" i="2"/>
  <c r="BQ3" i="2"/>
  <c r="AJ43" i="2"/>
  <c r="AJ9" i="2"/>
  <c r="BP45" i="2"/>
  <c r="BP44" i="2"/>
  <c r="BK22" i="2"/>
  <c r="BK15" i="2"/>
  <c r="BJ15" i="2"/>
  <c r="BK7" i="2"/>
  <c r="BK16" i="2" s="1"/>
  <c r="BK21" i="2"/>
  <c r="BM21" i="2"/>
  <c r="BN21" i="2"/>
  <c r="BJ7" i="2"/>
  <c r="BJ16" i="2" s="1"/>
  <c r="BM20" i="2"/>
  <c r="BK20" i="2"/>
  <c r="BN22" i="2"/>
  <c r="BM22" i="2"/>
  <c r="BN7" i="2"/>
  <c r="BM11" i="2"/>
  <c r="BM15" i="2" s="1"/>
  <c r="AH22" i="2"/>
  <c r="AG7" i="2"/>
  <c r="AG16" i="2" s="1"/>
  <c r="BJ13" i="2"/>
  <c r="Y41" i="2"/>
  <c r="Y42" i="2"/>
  <c r="Y43" i="2"/>
  <c r="BM7" i="2"/>
  <c r="AH7" i="2"/>
  <c r="AL23" i="2" s="1"/>
  <c r="BM13" i="2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X24" i="2" s="1"/>
  <c r="Z26" i="2"/>
  <c r="Z43" i="2" s="1"/>
  <c r="S26" i="2"/>
  <c r="S23" i="2"/>
  <c r="T26" i="2"/>
  <c r="T23" i="2"/>
  <c r="W13" i="2"/>
  <c r="S16" i="2"/>
  <c r="U26" i="2"/>
  <c r="Y47" i="2" s="1"/>
  <c r="U9" i="2"/>
  <c r="U23" i="2"/>
  <c r="X13" i="2"/>
  <c r="X26" i="2" s="1"/>
  <c r="Y48" i="2" s="1"/>
  <c r="T16" i="2"/>
  <c r="V26" i="2"/>
  <c r="V23" i="2"/>
  <c r="V16" i="2"/>
  <c r="AA7" i="2"/>
  <c r="AA9" i="2" s="1"/>
  <c r="Z7" i="2"/>
  <c r="Z9" i="2" s="1"/>
  <c r="AA26" i="2"/>
  <c r="AY42" i="2" l="1"/>
  <c r="AY49" i="2"/>
  <c r="BA36" i="2"/>
  <c r="BA49" i="2" s="1"/>
  <c r="AY37" i="2"/>
  <c r="AY39" i="2" s="1"/>
  <c r="BB39" i="2"/>
  <c r="BB50" i="2"/>
  <c r="AZ36" i="2"/>
  <c r="AZ49" i="2" s="1"/>
  <c r="BS29" i="2"/>
  <c r="AX35" i="2"/>
  <c r="AX42" i="2"/>
  <c r="AW39" i="2"/>
  <c r="AW50" i="2"/>
  <c r="BY45" i="2"/>
  <c r="AU49" i="2"/>
  <c r="AU37" i="2"/>
  <c r="AU39" i="2" s="1"/>
  <c r="BL45" i="2"/>
  <c r="BL44" i="2"/>
  <c r="BM44" i="2"/>
  <c r="Y39" i="2"/>
  <c r="Y50" i="2"/>
  <c r="BK45" i="2"/>
  <c r="AK23" i="2"/>
  <c r="BK44" i="2"/>
  <c r="BM45" i="2"/>
  <c r="BR3" i="2"/>
  <c r="BS3" i="2" s="1"/>
  <c r="BT3" i="2" s="1"/>
  <c r="BU3" i="2" s="1"/>
  <c r="BV3" i="2" s="1"/>
  <c r="BW3" i="2" s="1"/>
  <c r="BX3" i="2" s="1"/>
  <c r="AL41" i="2"/>
  <c r="AL43" i="2"/>
  <c r="AK48" i="2"/>
  <c r="AK43" i="2"/>
  <c r="AL48" i="2"/>
  <c r="BN12" i="2"/>
  <c r="BN16" i="2" s="1"/>
  <c r="BO16" i="2" s="1"/>
  <c r="BP16" i="2" s="1"/>
  <c r="BQ16" i="2" s="1"/>
  <c r="AJ41" i="2"/>
  <c r="BQ45" i="2"/>
  <c r="BQ44" i="2"/>
  <c r="V28" i="2"/>
  <c r="BO22" i="2"/>
  <c r="BN20" i="2"/>
  <c r="AH9" i="2"/>
  <c r="AG9" i="2"/>
  <c r="Z28" i="2"/>
  <c r="U28" i="2"/>
  <c r="U43" i="2"/>
  <c r="U48" i="2"/>
  <c r="BM24" i="2"/>
  <c r="V48" i="2"/>
  <c r="Z48" i="2"/>
  <c r="Z47" i="2"/>
  <c r="T28" i="2"/>
  <c r="T48" i="2"/>
  <c r="T43" i="2"/>
  <c r="W26" i="2"/>
  <c r="X48" i="2" s="1"/>
  <c r="BK13" i="2"/>
  <c r="X28" i="2"/>
  <c r="X47" i="2"/>
  <c r="X43" i="2"/>
  <c r="AA28" i="2"/>
  <c r="AA43" i="2"/>
  <c r="AA48" i="2"/>
  <c r="S28" i="2"/>
  <c r="S43" i="2"/>
  <c r="V43" i="2"/>
  <c r="BN24" i="2"/>
  <c r="U24" i="2"/>
  <c r="AA23" i="2"/>
  <c r="AF19" i="2"/>
  <c r="AF12" i="2"/>
  <c r="AF26" i="2" s="1"/>
  <c r="AJ47" i="2" s="1"/>
  <c r="AE12" i="2"/>
  <c r="AE26" i="2" s="1"/>
  <c r="AD12" i="2"/>
  <c r="AD26" i="2" s="1"/>
  <c r="AC12" i="2"/>
  <c r="AC26" i="2" s="1"/>
  <c r="AF7" i="2"/>
  <c r="AE7" i="2"/>
  <c r="AI23" i="2" s="1"/>
  <c r="AD7" i="2"/>
  <c r="AD9" i="2" s="1"/>
  <c r="AC7" i="2"/>
  <c r="AB15" i="2"/>
  <c r="AF15" i="2"/>
  <c r="Z23" i="2"/>
  <c r="Y23" i="2"/>
  <c r="X23" i="2"/>
  <c r="W23" i="2"/>
  <c r="AH19" i="2"/>
  <c r="AG19" i="2"/>
  <c r="AE19" i="2"/>
  <c r="AD19" i="2"/>
  <c r="AA19" i="2"/>
  <c r="Z19" i="2"/>
  <c r="Y19" i="2"/>
  <c r="X19" i="2"/>
  <c r="W19" i="2"/>
  <c r="AB12" i="2"/>
  <c r="AB7" i="2"/>
  <c r="AA16" i="2"/>
  <c r="Z16" i="2"/>
  <c r="Y16" i="2"/>
  <c r="X16" i="2"/>
  <c r="AE15" i="2"/>
  <c r="AD15" i="2"/>
  <c r="AC15" i="2"/>
  <c r="AA15" i="2"/>
  <c r="Z15" i="2"/>
  <c r="Y15" i="2"/>
  <c r="X15" i="2"/>
  <c r="W16" i="2"/>
  <c r="W15" i="2"/>
  <c r="BR36" i="2" l="1"/>
  <c r="AY50" i="2"/>
  <c r="BA37" i="2"/>
  <c r="BA39" i="2" s="1"/>
  <c r="BA50" i="2"/>
  <c r="AZ37" i="2"/>
  <c r="BT29" i="2"/>
  <c r="BU26" i="2"/>
  <c r="AX49" i="2"/>
  <c r="BZ45" i="2"/>
  <c r="AU50" i="2"/>
  <c r="AF9" i="2"/>
  <c r="AJ23" i="2"/>
  <c r="BR16" i="2"/>
  <c r="AK41" i="2"/>
  <c r="AL49" i="2"/>
  <c r="AJ42" i="2"/>
  <c r="AJ49" i="2"/>
  <c r="BR45" i="2"/>
  <c r="BR44" i="2"/>
  <c r="BO21" i="2"/>
  <c r="AA47" i="2"/>
  <c r="V41" i="2"/>
  <c r="V32" i="2"/>
  <c r="BQ5" i="2"/>
  <c r="BR5" i="2" s="1"/>
  <c r="BS5" i="2" s="1"/>
  <c r="BT5" i="2" s="1"/>
  <c r="BU5" i="2" s="1"/>
  <c r="BV5" i="2" s="1"/>
  <c r="BW5" i="2" s="1"/>
  <c r="BX5" i="2" s="1"/>
  <c r="BP21" i="2"/>
  <c r="BP22" i="2"/>
  <c r="BO20" i="2"/>
  <c r="AG26" i="2"/>
  <c r="AK47" i="2" s="1"/>
  <c r="AB26" i="2"/>
  <c r="AC48" i="2" s="1"/>
  <c r="BL12" i="2"/>
  <c r="BL16" i="2" s="1"/>
  <c r="AD28" i="2"/>
  <c r="AD48" i="2"/>
  <c r="AD47" i="2"/>
  <c r="AD43" i="2"/>
  <c r="S32" i="2"/>
  <c r="S41" i="2"/>
  <c r="AE28" i="2"/>
  <c r="AE48" i="2"/>
  <c r="AE47" i="2"/>
  <c r="AE43" i="2"/>
  <c r="U32" i="2"/>
  <c r="U41" i="2"/>
  <c r="AA32" i="2"/>
  <c r="AA41" i="2"/>
  <c r="BK24" i="2"/>
  <c r="BL24" i="2"/>
  <c r="BO24" i="2"/>
  <c r="Z41" i="2"/>
  <c r="Z32" i="2"/>
  <c r="AF28" i="2"/>
  <c r="AF48" i="2"/>
  <c r="AF43" i="2"/>
  <c r="X32" i="2"/>
  <c r="X41" i="2"/>
  <c r="AC28" i="2"/>
  <c r="AC47" i="2"/>
  <c r="AC43" i="2"/>
  <c r="W28" i="2"/>
  <c r="W48" i="2"/>
  <c r="W47" i="2"/>
  <c r="W43" i="2"/>
  <c r="T32" i="2"/>
  <c r="T41" i="2"/>
  <c r="AB16" i="2"/>
  <c r="AF23" i="2"/>
  <c r="V24" i="2"/>
  <c r="AE23" i="2"/>
  <c r="AE9" i="2"/>
  <c r="AC23" i="2"/>
  <c r="AC9" i="2"/>
  <c r="AD16" i="2"/>
  <c r="AD23" i="2"/>
  <c r="AB23" i="2"/>
  <c r="AB9" i="2"/>
  <c r="AH23" i="2"/>
  <c r="AF16" i="2"/>
  <c r="AC16" i="2"/>
  <c r="AE16" i="2"/>
  <c r="AG23" i="2"/>
  <c r="AZ50" i="2" l="1"/>
  <c r="AZ39" i="2"/>
  <c r="BU29" i="2"/>
  <c r="BV26" i="2"/>
  <c r="AX37" i="2"/>
  <c r="CB45" i="2"/>
  <c r="CA45" i="2"/>
  <c r="AF47" i="2"/>
  <c r="BS16" i="2"/>
  <c r="BT16" i="2" s="1"/>
  <c r="BU16" i="2" s="1"/>
  <c r="BV16" i="2" s="1"/>
  <c r="BW16" i="2" s="1"/>
  <c r="BX16" i="2" s="1"/>
  <c r="AK42" i="2"/>
  <c r="AL42" i="2"/>
  <c r="AK49" i="2"/>
  <c r="BS45" i="2"/>
  <c r="BS44" i="2"/>
  <c r="AG47" i="2"/>
  <c r="AG28" i="2"/>
  <c r="V35" i="2"/>
  <c r="V49" i="2" s="1"/>
  <c r="V42" i="2"/>
  <c r="BP20" i="2"/>
  <c r="BQ4" i="2"/>
  <c r="BR4" i="2" s="1"/>
  <c r="BS4" i="2" s="1"/>
  <c r="BT4" i="2" s="1"/>
  <c r="BU4" i="2" s="1"/>
  <c r="BV4" i="2" s="1"/>
  <c r="BW4" i="2" s="1"/>
  <c r="BX4" i="2" s="1"/>
  <c r="AG43" i="2"/>
  <c r="AG48" i="2"/>
  <c r="AC32" i="2"/>
  <c r="AC41" i="2"/>
  <c r="AF32" i="2"/>
  <c r="AF41" i="2"/>
  <c r="Z35" i="2"/>
  <c r="Z49" i="2" s="1"/>
  <c r="Z42" i="2"/>
  <c r="T35" i="2"/>
  <c r="T49" i="2" s="1"/>
  <c r="T42" i="2"/>
  <c r="U35" i="2"/>
  <c r="U49" i="2" s="1"/>
  <c r="U42" i="2"/>
  <c r="AE32" i="2"/>
  <c r="AE41" i="2"/>
  <c r="X35" i="2"/>
  <c r="X49" i="2" s="1"/>
  <c r="X42" i="2"/>
  <c r="BP24" i="2"/>
  <c r="AD41" i="2"/>
  <c r="AD32" i="2"/>
  <c r="W32" i="2"/>
  <c r="W41" i="2"/>
  <c r="S35" i="2"/>
  <c r="S49" i="2" s="1"/>
  <c r="S42" i="2"/>
  <c r="AA35" i="2"/>
  <c r="AA49" i="2" s="1"/>
  <c r="AA42" i="2"/>
  <c r="AB28" i="2"/>
  <c r="AB43" i="2"/>
  <c r="AB47" i="2"/>
  <c r="AB48" i="2"/>
  <c r="AA24" i="2"/>
  <c r="W24" i="2"/>
  <c r="BH8" i="2"/>
  <c r="BH7" i="2"/>
  <c r="BG8" i="2"/>
  <c r="BG7" i="2"/>
  <c r="BV29" i="2" l="1"/>
  <c r="BW26" i="2"/>
  <c r="AX39" i="2"/>
  <c r="AX50" i="2"/>
  <c r="AJ50" i="2"/>
  <c r="AL50" i="2"/>
  <c r="BT45" i="2"/>
  <c r="BT44" i="2"/>
  <c r="V37" i="2"/>
  <c r="BQ7" i="2"/>
  <c r="AG41" i="2"/>
  <c r="AG32" i="2"/>
  <c r="X37" i="2"/>
  <c r="Z37" i="2"/>
  <c r="T37" i="2"/>
  <c r="W35" i="2"/>
  <c r="W49" i="2" s="1"/>
  <c r="W42" i="2"/>
  <c r="AE35" i="2"/>
  <c r="AE49" i="2" s="1"/>
  <c r="AE42" i="2"/>
  <c r="AF35" i="2"/>
  <c r="AF49" i="2" s="1"/>
  <c r="AF42" i="2"/>
  <c r="BQ24" i="2"/>
  <c r="AB32" i="2"/>
  <c r="AB41" i="2"/>
  <c r="AD35" i="2"/>
  <c r="AD49" i="2" s="1"/>
  <c r="AD42" i="2"/>
  <c r="S37" i="2"/>
  <c r="AA37" i="2"/>
  <c r="U37" i="2"/>
  <c r="AC35" i="2"/>
  <c r="AC49" i="2" s="1"/>
  <c r="AC42" i="2"/>
  <c r="AB24" i="2"/>
  <c r="X24" i="2"/>
  <c r="O33" i="2"/>
  <c r="P33" i="2" s="1"/>
  <c r="Q33" i="2" s="1"/>
  <c r="R33" i="2" s="1"/>
  <c r="CE52" i="2"/>
  <c r="P23" i="2"/>
  <c r="Q23" i="2"/>
  <c r="BG11" i="2"/>
  <c r="BG15" i="2" s="1"/>
  <c r="BG12" i="2"/>
  <c r="BG16" i="2" s="1"/>
  <c r="BG13" i="2"/>
  <c r="BG17" i="2" s="1"/>
  <c r="BE47" i="2"/>
  <c r="O12" i="2"/>
  <c r="BH11" i="2"/>
  <c r="BH15" i="2" s="1"/>
  <c r="BH12" i="2"/>
  <c r="BH16" i="2" s="1"/>
  <c r="BH13" i="2"/>
  <c r="R19" i="2"/>
  <c r="P19" i="2"/>
  <c r="Q19" i="2"/>
  <c r="N23" i="2"/>
  <c r="M23" i="2"/>
  <c r="L23" i="2"/>
  <c r="K23" i="2"/>
  <c r="N19" i="2"/>
  <c r="M19" i="2"/>
  <c r="L19" i="2"/>
  <c r="K19" i="2"/>
  <c r="N26" i="2"/>
  <c r="M26" i="2"/>
  <c r="I26" i="2"/>
  <c r="L26" i="2"/>
  <c r="H26" i="2"/>
  <c r="H43" i="2" s="1"/>
  <c r="G26" i="2"/>
  <c r="G43" i="2" s="1"/>
  <c r="J26" i="2"/>
  <c r="J43" i="2" s="1"/>
  <c r="K26" i="2"/>
  <c r="N9" i="2"/>
  <c r="M9" i="2"/>
  <c r="L9" i="2"/>
  <c r="J9" i="2"/>
  <c r="I9" i="2"/>
  <c r="H9" i="2"/>
  <c r="G9" i="2"/>
  <c r="N17" i="2"/>
  <c r="M17" i="2"/>
  <c r="L17" i="2"/>
  <c r="J17" i="2"/>
  <c r="I17" i="2"/>
  <c r="H17" i="2"/>
  <c r="G17" i="2"/>
  <c r="N15" i="2"/>
  <c r="M15" i="2"/>
  <c r="L15" i="2"/>
  <c r="J15" i="2"/>
  <c r="I15" i="2"/>
  <c r="H15" i="2"/>
  <c r="G15" i="2"/>
  <c r="N16" i="2"/>
  <c r="M16" i="2"/>
  <c r="L16" i="2"/>
  <c r="J16" i="2"/>
  <c r="I16" i="2"/>
  <c r="H16" i="2"/>
  <c r="G16" i="2"/>
  <c r="K17" i="2"/>
  <c r="K15" i="2"/>
  <c r="K16" i="2"/>
  <c r="K9" i="2"/>
  <c r="BE43" i="2"/>
  <c r="BD43" i="2"/>
  <c r="F43" i="2"/>
  <c r="E43" i="2"/>
  <c r="D43" i="2"/>
  <c r="C43" i="2"/>
  <c r="F48" i="2"/>
  <c r="E48" i="2"/>
  <c r="D48" i="2"/>
  <c r="BD82" i="2"/>
  <c r="BD77" i="2"/>
  <c r="BE82" i="2"/>
  <c r="BE77" i="2"/>
  <c r="BF52" i="2"/>
  <c r="BD55" i="2"/>
  <c r="BD54" i="2"/>
  <c r="BD52" i="2" s="1"/>
  <c r="BD69" i="2"/>
  <c r="BD71" i="2" s="1"/>
  <c r="BE55" i="2"/>
  <c r="BE54" i="2"/>
  <c r="BE69" i="2"/>
  <c r="BE71" i="2" s="1"/>
  <c r="BE28" i="2"/>
  <c r="BE32" i="2" s="1"/>
  <c r="BE35" i="2" s="1"/>
  <c r="C33" i="2"/>
  <c r="BF33" i="2" s="1"/>
  <c r="C28" i="2"/>
  <c r="C32" i="2" s="1"/>
  <c r="C42" i="2" s="1"/>
  <c r="D28" i="2"/>
  <c r="D32" i="2" s="1"/>
  <c r="D35" i="2" s="1"/>
  <c r="BF77" i="2"/>
  <c r="BF82" i="2"/>
  <c r="BF69" i="2"/>
  <c r="BF71" i="2" s="1"/>
  <c r="BF60" i="2"/>
  <c r="BF36" i="2"/>
  <c r="BF34" i="2"/>
  <c r="BF31" i="2"/>
  <c r="BF45" i="2" s="1"/>
  <c r="BF30" i="2"/>
  <c r="BF44" i="2" s="1"/>
  <c r="BF29" i="2"/>
  <c r="BF27" i="2"/>
  <c r="BF26" i="2"/>
  <c r="BF47" i="2" s="1"/>
  <c r="BG82" i="2"/>
  <c r="BG77" i="2"/>
  <c r="BG36" i="2"/>
  <c r="BG34" i="2"/>
  <c r="BG33" i="2"/>
  <c r="BG31" i="2"/>
  <c r="BG30" i="2"/>
  <c r="BG29" i="2"/>
  <c r="BG27" i="2"/>
  <c r="F28" i="2"/>
  <c r="F32" i="2" s="1"/>
  <c r="F35" i="2" s="1"/>
  <c r="E28" i="2"/>
  <c r="E32" i="2" s="1"/>
  <c r="E35" i="2" s="1"/>
  <c r="BH36" i="2"/>
  <c r="BH34" i="2"/>
  <c r="BH33" i="2"/>
  <c r="BH31" i="2"/>
  <c r="BH30" i="2"/>
  <c r="BH29" i="2"/>
  <c r="BH27" i="2"/>
  <c r="BH82" i="2"/>
  <c r="BH77" i="2"/>
  <c r="J82" i="2"/>
  <c r="J77" i="2"/>
  <c r="M82" i="2"/>
  <c r="M77" i="2"/>
  <c r="N82" i="2"/>
  <c r="N75" i="2"/>
  <c r="N77" i="2"/>
  <c r="BG69" i="2"/>
  <c r="BG71" i="2" s="1"/>
  <c r="BG54" i="2"/>
  <c r="BG60" i="2" s="1"/>
  <c r="BH70" i="2"/>
  <c r="BH69" i="2"/>
  <c r="BH54" i="2"/>
  <c r="BH60" i="2" s="1"/>
  <c r="J54" i="2"/>
  <c r="J60" i="2" s="1"/>
  <c r="J69" i="2"/>
  <c r="J71" i="2" s="1"/>
  <c r="N70" i="2"/>
  <c r="N69" i="2"/>
  <c r="N54" i="2"/>
  <c r="N60" i="2" s="1"/>
  <c r="D8" i="1"/>
  <c r="CE49" i="2" s="1"/>
  <c r="D5" i="1"/>
  <c r="BW29" i="2" l="1"/>
  <c r="BX26" i="2"/>
  <c r="BH44" i="2"/>
  <c r="BH45" i="2"/>
  <c r="S39" i="2"/>
  <c r="S50" i="2"/>
  <c r="BG44" i="2"/>
  <c r="AA39" i="2"/>
  <c r="AA50" i="2"/>
  <c r="BG45" i="2"/>
  <c r="T39" i="2"/>
  <c r="T50" i="2"/>
  <c r="D37" i="2"/>
  <c r="D49" i="2"/>
  <c r="E37" i="2"/>
  <c r="E49" i="2"/>
  <c r="Z39" i="2"/>
  <c r="Z50" i="2"/>
  <c r="V39" i="2"/>
  <c r="V50" i="2"/>
  <c r="F37" i="2"/>
  <c r="F49" i="2"/>
  <c r="BE37" i="2"/>
  <c r="BE74" i="2" s="1"/>
  <c r="BE83" i="2" s="1"/>
  <c r="BE49" i="2"/>
  <c r="U39" i="2"/>
  <c r="U50" i="2"/>
  <c r="X39" i="2"/>
  <c r="X50" i="2"/>
  <c r="AK50" i="2"/>
  <c r="BU45" i="2"/>
  <c r="BU44" i="2"/>
  <c r="D9" i="1"/>
  <c r="BU6" i="2"/>
  <c r="BV6" i="2" s="1"/>
  <c r="BW6" i="2" s="1"/>
  <c r="BX6" i="2" s="1"/>
  <c r="BR7" i="2"/>
  <c r="AG35" i="2"/>
  <c r="AG42" i="2"/>
  <c r="W37" i="2"/>
  <c r="BR24" i="2"/>
  <c r="BH17" i="2"/>
  <c r="BH24" i="2"/>
  <c r="AB35" i="2"/>
  <c r="AB49" i="2" s="1"/>
  <c r="AB42" i="2"/>
  <c r="AF37" i="2"/>
  <c r="AC37" i="2"/>
  <c r="AD37" i="2"/>
  <c r="AE37" i="2"/>
  <c r="AC24" i="2"/>
  <c r="Y24" i="2"/>
  <c r="Q12" i="2"/>
  <c r="Q11" i="2"/>
  <c r="BI7" i="2"/>
  <c r="P11" i="2"/>
  <c r="O19" i="2"/>
  <c r="R11" i="2"/>
  <c r="P12" i="2"/>
  <c r="O11" i="2"/>
  <c r="R12" i="2"/>
  <c r="BI33" i="2"/>
  <c r="BH23" i="2"/>
  <c r="L28" i="2"/>
  <c r="L32" i="2" s="1"/>
  <c r="L35" i="2" s="1"/>
  <c r="BH19" i="2"/>
  <c r="L43" i="2"/>
  <c r="BH9" i="2"/>
  <c r="I43" i="2"/>
  <c r="M28" i="2"/>
  <c r="M32" i="2" s="1"/>
  <c r="M35" i="2" s="1"/>
  <c r="O23" i="2"/>
  <c r="I28" i="2"/>
  <c r="I32" i="2" s="1"/>
  <c r="I42" i="2" s="1"/>
  <c r="G47" i="2"/>
  <c r="G28" i="2"/>
  <c r="G32" i="2" s="1"/>
  <c r="G35" i="2" s="1"/>
  <c r="I47" i="2"/>
  <c r="N48" i="2"/>
  <c r="O9" i="2"/>
  <c r="BG9" i="2"/>
  <c r="Q9" i="2"/>
  <c r="P9" i="2"/>
  <c r="J28" i="2"/>
  <c r="J32" i="2" s="1"/>
  <c r="J35" i="2" s="1"/>
  <c r="BE60" i="2"/>
  <c r="L48" i="2"/>
  <c r="N71" i="2"/>
  <c r="BG26" i="2"/>
  <c r="BG47" i="2" s="1"/>
  <c r="C41" i="2"/>
  <c r="BE41" i="2"/>
  <c r="BH52" i="2"/>
  <c r="J47" i="2"/>
  <c r="K28" i="2"/>
  <c r="K32" i="2" s="1"/>
  <c r="K35" i="2" s="1"/>
  <c r="K47" i="2"/>
  <c r="BF43" i="2"/>
  <c r="N47" i="2"/>
  <c r="K43" i="2"/>
  <c r="BD60" i="2"/>
  <c r="N28" i="2"/>
  <c r="N32" i="2" s="1"/>
  <c r="N35" i="2" s="1"/>
  <c r="N49" i="2" s="1"/>
  <c r="N43" i="2"/>
  <c r="BH26" i="2"/>
  <c r="BH28" i="2" s="1"/>
  <c r="BH41" i="2" s="1"/>
  <c r="M47" i="2"/>
  <c r="M43" i="2"/>
  <c r="J48" i="2"/>
  <c r="M48" i="2"/>
  <c r="I48" i="2"/>
  <c r="H28" i="2"/>
  <c r="H32" i="2" s="1"/>
  <c r="H35" i="2" s="1"/>
  <c r="H47" i="2"/>
  <c r="L47" i="2"/>
  <c r="H48" i="2"/>
  <c r="G48" i="2"/>
  <c r="K48" i="2"/>
  <c r="BE42" i="2"/>
  <c r="E41" i="2"/>
  <c r="D42" i="2"/>
  <c r="D41" i="2"/>
  <c r="F41" i="2"/>
  <c r="E42" i="2"/>
  <c r="BG52" i="2"/>
  <c r="F42" i="2"/>
  <c r="BE52" i="2"/>
  <c r="C35" i="2"/>
  <c r="C49" i="2" s="1"/>
  <c r="BF28" i="2"/>
  <c r="BH71" i="2"/>
  <c r="BX29" i="2" l="1"/>
  <c r="BY26" i="2"/>
  <c r="BE39" i="2"/>
  <c r="BE50" i="2"/>
  <c r="M37" i="2"/>
  <c r="M74" i="2" s="1"/>
  <c r="M83" i="2" s="1"/>
  <c r="M49" i="2"/>
  <c r="BX7" i="2"/>
  <c r="AE39" i="2"/>
  <c r="AE50" i="2"/>
  <c r="G37" i="2"/>
  <c r="G39" i="2" s="1"/>
  <c r="G49" i="2"/>
  <c r="AD39" i="2"/>
  <c r="AD50" i="2"/>
  <c r="W39" i="2"/>
  <c r="W50" i="2"/>
  <c r="E39" i="2"/>
  <c r="E50" i="2"/>
  <c r="K37" i="2"/>
  <c r="K74" i="2" s="1"/>
  <c r="K49" i="2"/>
  <c r="J37" i="2"/>
  <c r="J74" i="2" s="1"/>
  <c r="J83" i="2" s="1"/>
  <c r="J49" i="2"/>
  <c r="L37" i="2"/>
  <c r="L49" i="2"/>
  <c r="AC39" i="2"/>
  <c r="AC50" i="2"/>
  <c r="F39" i="2"/>
  <c r="F50" i="2"/>
  <c r="H37" i="2"/>
  <c r="H74" i="2" s="1"/>
  <c r="H49" i="2"/>
  <c r="AF39" i="2"/>
  <c r="AF50" i="2"/>
  <c r="AG37" i="2"/>
  <c r="AG49" i="2"/>
  <c r="D39" i="2"/>
  <c r="D50" i="2"/>
  <c r="BW45" i="2"/>
  <c r="BV45" i="2"/>
  <c r="BV44" i="2"/>
  <c r="BI12" i="2"/>
  <c r="BI16" i="2" s="1"/>
  <c r="BS7" i="2"/>
  <c r="O26" i="2"/>
  <c r="O47" i="2" s="1"/>
  <c r="BI11" i="2"/>
  <c r="BI15" i="2" s="1"/>
  <c r="AB37" i="2"/>
  <c r="BS24" i="2"/>
  <c r="AD24" i="2"/>
  <c r="Z24" i="2"/>
  <c r="R26" i="2"/>
  <c r="R29" i="2" s="1"/>
  <c r="R43" i="2" s="1"/>
  <c r="Q26" i="2"/>
  <c r="L41" i="2"/>
  <c r="BI23" i="2"/>
  <c r="BI19" i="2"/>
  <c r="P26" i="2"/>
  <c r="BI13" i="2"/>
  <c r="L42" i="2"/>
  <c r="G41" i="2"/>
  <c r="M41" i="2"/>
  <c r="J41" i="2"/>
  <c r="I41" i="2"/>
  <c r="BI9" i="2"/>
  <c r="J42" i="2"/>
  <c r="G42" i="2"/>
  <c r="M42" i="2"/>
  <c r="BH47" i="2"/>
  <c r="I35" i="2"/>
  <c r="R9" i="2"/>
  <c r="BG28" i="2"/>
  <c r="BG41" i="2" s="1"/>
  <c r="BG43" i="2"/>
  <c r="N42" i="2"/>
  <c r="K41" i="2"/>
  <c r="BH43" i="2"/>
  <c r="N41" i="2"/>
  <c r="K42" i="2"/>
  <c r="N37" i="2"/>
  <c r="N50" i="2" s="1"/>
  <c r="H41" i="2"/>
  <c r="H42" i="2"/>
  <c r="BH32" i="2"/>
  <c r="BH35" i="2" s="1"/>
  <c r="BH49" i="2" s="1"/>
  <c r="BF32" i="2"/>
  <c r="BF41" i="2"/>
  <c r="C37" i="2"/>
  <c r="BY29" i="2" l="1"/>
  <c r="BY43" i="2" s="1"/>
  <c r="BZ26" i="2"/>
  <c r="BY47" i="2"/>
  <c r="AB39" i="2"/>
  <c r="AB50" i="2"/>
  <c r="AG39" i="2"/>
  <c r="AG50" i="2"/>
  <c r="BX12" i="2"/>
  <c r="BX9" i="2"/>
  <c r="L74" i="2"/>
  <c r="L50" i="2"/>
  <c r="L39" i="2"/>
  <c r="O29" i="2"/>
  <c r="O43" i="2" s="1"/>
  <c r="C39" i="2"/>
  <c r="C50" i="2"/>
  <c r="H39" i="2"/>
  <c r="H50" i="2"/>
  <c r="J39" i="2"/>
  <c r="J50" i="2"/>
  <c r="M39" i="2"/>
  <c r="M50" i="2"/>
  <c r="I37" i="2"/>
  <c r="I50" i="2" s="1"/>
  <c r="I49" i="2"/>
  <c r="K39" i="2"/>
  <c r="K50" i="2"/>
  <c r="G74" i="2"/>
  <c r="G50" i="2"/>
  <c r="BW44" i="2"/>
  <c r="O48" i="2"/>
  <c r="O30" i="2"/>
  <c r="O28" i="2"/>
  <c r="O41" i="2" s="1"/>
  <c r="BT7" i="2"/>
  <c r="P47" i="2"/>
  <c r="T47" i="2"/>
  <c r="BT24" i="2"/>
  <c r="R28" i="2"/>
  <c r="R41" i="2" s="1"/>
  <c r="S48" i="2"/>
  <c r="V47" i="2"/>
  <c r="BI24" i="2"/>
  <c r="BJ24" i="2"/>
  <c r="Q30" i="2"/>
  <c r="U47" i="2"/>
  <c r="O31" i="2"/>
  <c r="S47" i="2"/>
  <c r="R31" i="2"/>
  <c r="R47" i="2"/>
  <c r="R30" i="2"/>
  <c r="BJ9" i="2"/>
  <c r="R48" i="2"/>
  <c r="Q47" i="2"/>
  <c r="Q31" i="2"/>
  <c r="Q28" i="2"/>
  <c r="Q27" i="2" s="1"/>
  <c r="P29" i="2"/>
  <c r="P43" i="2" s="1"/>
  <c r="Q29" i="2"/>
  <c r="Q43" i="2" s="1"/>
  <c r="P28" i="2"/>
  <c r="P27" i="2" s="1"/>
  <c r="Q48" i="2"/>
  <c r="BJ19" i="2"/>
  <c r="P30" i="2"/>
  <c r="BJ23" i="2"/>
  <c r="P48" i="2"/>
  <c r="BI26" i="2"/>
  <c r="P31" i="2"/>
  <c r="BG32" i="2"/>
  <c r="BG35" i="2" s="1"/>
  <c r="BG49" i="2" s="1"/>
  <c r="N39" i="2"/>
  <c r="N74" i="2"/>
  <c r="N83" i="2" s="1"/>
  <c r="BH42" i="2"/>
  <c r="BH37" i="2"/>
  <c r="BF35" i="2"/>
  <c r="BF49" i="2" s="1"/>
  <c r="BF42" i="2"/>
  <c r="BZ29" i="2" l="1"/>
  <c r="BZ43" i="2" s="1"/>
  <c r="BY41" i="2"/>
  <c r="BY27" i="2"/>
  <c r="CA26" i="2"/>
  <c r="BZ47" i="2"/>
  <c r="BY44" i="2"/>
  <c r="BY32" i="2"/>
  <c r="BY42" i="2" s="1"/>
  <c r="U45" i="2"/>
  <c r="Q45" i="2"/>
  <c r="O45" i="2"/>
  <c r="S45" i="2"/>
  <c r="S44" i="2"/>
  <c r="O44" i="2"/>
  <c r="Q44" i="2"/>
  <c r="U44" i="2"/>
  <c r="I39" i="2"/>
  <c r="O27" i="2"/>
  <c r="P44" i="2"/>
  <c r="T44" i="2"/>
  <c r="I74" i="2"/>
  <c r="T45" i="2"/>
  <c r="P45" i="2"/>
  <c r="R44" i="2"/>
  <c r="V44" i="2"/>
  <c r="R45" i="2"/>
  <c r="V45" i="2"/>
  <c r="BX44" i="2"/>
  <c r="BH39" i="2"/>
  <c r="BH50" i="2"/>
  <c r="R27" i="2"/>
  <c r="BU7" i="2"/>
  <c r="O32" i="2"/>
  <c r="O42" i="2" s="1"/>
  <c r="BU24" i="2"/>
  <c r="P41" i="2"/>
  <c r="R32" i="2"/>
  <c r="R42" i="2" s="1"/>
  <c r="Q41" i="2"/>
  <c r="BI29" i="2"/>
  <c r="BI43" i="2" s="1"/>
  <c r="Q32" i="2"/>
  <c r="Q35" i="2" s="1"/>
  <c r="BJ26" i="2"/>
  <c r="BI30" i="2"/>
  <c r="BI31" i="2"/>
  <c r="BK19" i="2"/>
  <c r="BK9" i="2"/>
  <c r="P32" i="2"/>
  <c r="P35" i="2" s="1"/>
  <c r="P36" i="2" s="1"/>
  <c r="P49" i="2" s="1"/>
  <c r="BI47" i="2"/>
  <c r="BK23" i="2"/>
  <c r="BG37" i="2"/>
  <c r="BG42" i="2"/>
  <c r="BH74" i="2"/>
  <c r="BH83" i="2" s="1"/>
  <c r="BF37" i="2"/>
  <c r="BF50" i="2" s="1"/>
  <c r="CA29" i="2" l="1"/>
  <c r="CA43" i="2" s="1"/>
  <c r="CA41" i="2"/>
  <c r="BZ41" i="2"/>
  <c r="BZ27" i="2"/>
  <c r="CA47" i="2"/>
  <c r="CB26" i="2"/>
  <c r="BZ44" i="2"/>
  <c r="BZ32" i="2"/>
  <c r="BZ42" i="2" s="1"/>
  <c r="BI27" i="2"/>
  <c r="BI28" i="2" s="1"/>
  <c r="BI41" i="2" s="1"/>
  <c r="BJ47" i="2"/>
  <c r="BJ28" i="2"/>
  <c r="BG39" i="2"/>
  <c r="BG50" i="2"/>
  <c r="BI45" i="2"/>
  <c r="BJ45" i="2"/>
  <c r="BI44" i="2"/>
  <c r="BJ44" i="2"/>
  <c r="O35" i="2"/>
  <c r="O36" i="2" s="1"/>
  <c r="O49" i="2" s="1"/>
  <c r="BV7" i="2"/>
  <c r="BV24" i="2"/>
  <c r="BW24" i="2"/>
  <c r="R35" i="2"/>
  <c r="R36" i="2" s="1"/>
  <c r="R49" i="2" s="1"/>
  <c r="BJ43" i="2"/>
  <c r="Q42" i="2"/>
  <c r="P42" i="2"/>
  <c r="BL9" i="2"/>
  <c r="BL19" i="2"/>
  <c r="BK26" i="2"/>
  <c r="BK28" i="2" s="1"/>
  <c r="BL23" i="2"/>
  <c r="P37" i="2"/>
  <c r="Q36" i="2"/>
  <c r="BG74" i="2"/>
  <c r="BG83" i="2" s="1"/>
  <c r="BF74" i="2"/>
  <c r="BF83" i="2" s="1"/>
  <c r="BF39" i="2"/>
  <c r="CA27" i="2" l="1"/>
  <c r="CB29" i="2"/>
  <c r="CB43" i="2" s="1"/>
  <c r="CB47" i="2"/>
  <c r="CA44" i="2"/>
  <c r="CA32" i="2"/>
  <c r="CA42" i="2" s="1"/>
  <c r="BI32" i="2"/>
  <c r="BI35" i="2" s="1"/>
  <c r="Q37" i="2"/>
  <c r="Q49" i="2"/>
  <c r="P39" i="2"/>
  <c r="P50" i="2"/>
  <c r="O37" i="2"/>
  <c r="BW7" i="2"/>
  <c r="R37" i="2"/>
  <c r="BJ41" i="2"/>
  <c r="BJ32" i="2"/>
  <c r="BJ42" i="2" s="1"/>
  <c r="BK43" i="2"/>
  <c r="BK47" i="2"/>
  <c r="BM23" i="2"/>
  <c r="BL26" i="2"/>
  <c r="BL28" i="2" s="1"/>
  <c r="BM19" i="2"/>
  <c r="BM9" i="2"/>
  <c r="BI36" i="2"/>
  <c r="CB41" i="2" l="1"/>
  <c r="CB27" i="2"/>
  <c r="CB44" i="2"/>
  <c r="CB32" i="2"/>
  <c r="CB42" i="2" s="1"/>
  <c r="BI42" i="2"/>
  <c r="BI49" i="2"/>
  <c r="O39" i="2"/>
  <c r="O50" i="2"/>
  <c r="Q39" i="2"/>
  <c r="Q50" i="2"/>
  <c r="R39" i="2"/>
  <c r="R50" i="2"/>
  <c r="BJ35" i="2"/>
  <c r="BJ49" i="2" s="1"/>
  <c r="BK41" i="2"/>
  <c r="BK32" i="2"/>
  <c r="BN19" i="2"/>
  <c r="BN9" i="2"/>
  <c r="BL47" i="2"/>
  <c r="BL43" i="2"/>
  <c r="BN23" i="2"/>
  <c r="BI37" i="2"/>
  <c r="BI39" i="2" l="1"/>
  <c r="BI50" i="2"/>
  <c r="BJ37" i="2"/>
  <c r="BO19" i="2"/>
  <c r="BO9" i="2"/>
  <c r="BK35" i="2"/>
  <c r="BK49" i="2" s="1"/>
  <c r="BK42" i="2"/>
  <c r="BO23" i="2"/>
  <c r="BL41" i="2"/>
  <c r="BL32" i="2"/>
  <c r="BJ39" i="2" l="1"/>
  <c r="BJ50" i="2"/>
  <c r="BP23" i="2"/>
  <c r="BP19" i="2"/>
  <c r="BP9" i="2"/>
  <c r="BL42" i="2"/>
  <c r="BL35" i="2"/>
  <c r="BL49" i="2" s="1"/>
  <c r="BK37" i="2" l="1"/>
  <c r="BQ9" i="2"/>
  <c r="BK39" i="2" l="1"/>
  <c r="BK50" i="2"/>
  <c r="BR9" i="2"/>
  <c r="BL37" i="2"/>
  <c r="BL39" i="2" l="1"/>
  <c r="BL50" i="2"/>
  <c r="BS9" i="2"/>
  <c r="BT9" i="2" l="1"/>
  <c r="BU9" i="2" l="1"/>
  <c r="BV9" i="2" l="1"/>
  <c r="BW9" i="2" l="1"/>
  <c r="BD28" i="2" l="1"/>
  <c r="BD32" i="2" s="1"/>
  <c r="BD42" i="2" l="1"/>
  <c r="BD35" i="2"/>
  <c r="BD49" i="2" s="1"/>
  <c r="BD41" i="2"/>
  <c r="BD37" i="2" l="1"/>
  <c r="BD50" i="2" s="1"/>
  <c r="BD39" i="2" l="1"/>
  <c r="BD74" i="2"/>
  <c r="BD83" i="2" s="1"/>
  <c r="BM12" i="2" l="1"/>
  <c r="BM26" i="2" s="1"/>
  <c r="AH16" i="2"/>
  <c r="AH26" i="2"/>
  <c r="AL47" i="2" s="1"/>
  <c r="BM27" i="2" l="1"/>
  <c r="BM28" i="2" s="1"/>
  <c r="AH28" i="2"/>
  <c r="BM16" i="2"/>
  <c r="BD47" i="2"/>
  <c r="AH47" i="2"/>
  <c r="BM47" i="2"/>
  <c r="BM43" i="2"/>
  <c r="AH48" i="2"/>
  <c r="AH43" i="2"/>
  <c r="AH41" i="2" l="1"/>
  <c r="AH32" i="2"/>
  <c r="BO12" i="2"/>
  <c r="BM32" i="2"/>
  <c r="BM41" i="2"/>
  <c r="AH35" i="2" l="1"/>
  <c r="AH42" i="2"/>
  <c r="BM42" i="2"/>
  <c r="BM35" i="2"/>
  <c r="BP12" i="2"/>
  <c r="BM36" i="2"/>
  <c r="BM49" i="2" l="1"/>
  <c r="AH37" i="2"/>
  <c r="AH49" i="2"/>
  <c r="BM37" i="2"/>
  <c r="BM50" i="2" s="1"/>
  <c r="BQ12" i="2"/>
  <c r="AH39" i="2" l="1"/>
  <c r="AH50" i="2"/>
  <c r="BR12" i="2"/>
  <c r="BM39" i="2"/>
  <c r="BS12" i="2" l="1"/>
  <c r="BT12" i="2" l="1"/>
  <c r="BU12" i="2" l="1"/>
  <c r="BV12" i="2" l="1"/>
  <c r="BW12" i="2"/>
  <c r="BN11" i="2" l="1"/>
  <c r="AI26" i="2"/>
  <c r="AI28" i="2" l="1"/>
  <c r="BN26" i="2"/>
  <c r="BN28" i="2" s="1"/>
  <c r="AM47" i="2"/>
  <c r="AJ48" i="2"/>
  <c r="AI48" i="2"/>
  <c r="AI47" i="2"/>
  <c r="BN15" i="2"/>
  <c r="BO15" i="2" s="1"/>
  <c r="BP15" i="2" s="1"/>
  <c r="AI32" i="2" l="1"/>
  <c r="AI41" i="2"/>
  <c r="BN47" i="2"/>
  <c r="BO11" i="2"/>
  <c r="BN43" i="2"/>
  <c r="AI43" i="2"/>
  <c r="BO43" i="2" l="1"/>
  <c r="BO47" i="2"/>
  <c r="BQ15" i="2"/>
  <c r="BP11" i="2"/>
  <c r="BN41" i="2"/>
  <c r="BN32" i="2"/>
  <c r="AI35" i="2"/>
  <c r="AI42" i="2"/>
  <c r="AI37" i="2" l="1"/>
  <c r="AI49" i="2"/>
  <c r="BP43" i="2"/>
  <c r="BP47" i="2"/>
  <c r="BN35" i="2"/>
  <c r="BN42" i="2"/>
  <c r="BR15" i="2"/>
  <c r="BQ11" i="2"/>
  <c r="BQ43" i="2" l="1"/>
  <c r="BQ47" i="2"/>
  <c r="BS15" i="2"/>
  <c r="BR11" i="2"/>
  <c r="BN49" i="2"/>
  <c r="BN37" i="2"/>
  <c r="AI39" i="2"/>
  <c r="AI50" i="2"/>
  <c r="BR43" i="2" l="1"/>
  <c r="BR47" i="2"/>
  <c r="BT15" i="2"/>
  <c r="BS11" i="2"/>
  <c r="BN39" i="2"/>
  <c r="BN50" i="2"/>
  <c r="BS43" i="2" l="1"/>
  <c r="BS47" i="2"/>
  <c r="BS27" i="2"/>
  <c r="BU15" i="2"/>
  <c r="BT11" i="2"/>
  <c r="BR41" i="2"/>
  <c r="BR32" i="2"/>
  <c r="BR42" i="2" s="1"/>
  <c r="BV15" i="2" l="1"/>
  <c r="BU11" i="2"/>
  <c r="BS41" i="2"/>
  <c r="BS32" i="2"/>
  <c r="BT43" i="2"/>
  <c r="BT47" i="2"/>
  <c r="BU43" i="2" l="1"/>
  <c r="BU47" i="2"/>
  <c r="BT32" i="2"/>
  <c r="BT42" i="2" s="1"/>
  <c r="BT41" i="2"/>
  <c r="BS42" i="2"/>
  <c r="BW15" i="2"/>
  <c r="BV11" i="2"/>
  <c r="BT27" i="2"/>
  <c r="BW11" i="2" l="1"/>
  <c r="BW47" i="2" s="1"/>
  <c r="BX15" i="2"/>
  <c r="BX11" i="2" s="1"/>
  <c r="BV43" i="2"/>
  <c r="BV47" i="2"/>
  <c r="BU27" i="2"/>
  <c r="BU32" i="2"/>
  <c r="BU42" i="2" s="1"/>
  <c r="BU41" i="2"/>
  <c r="BW27" i="2" l="1"/>
  <c r="BX47" i="2"/>
  <c r="BW43" i="2"/>
  <c r="BX43" i="2"/>
  <c r="BV27" i="2"/>
  <c r="BV32" i="2"/>
  <c r="BV42" i="2" s="1"/>
  <c r="BV41" i="2"/>
  <c r="BW41" i="2" l="1"/>
  <c r="BW32" i="2"/>
  <c r="BW42" i="2" s="1"/>
  <c r="BX27" i="2"/>
  <c r="BX41" i="2"/>
  <c r="BX32" i="2"/>
  <c r="BX42" i="2" s="1"/>
  <c r="BO28" i="2" l="1"/>
  <c r="BO41" i="2" s="1"/>
  <c r="BO32" i="2" l="1"/>
  <c r="BO35" i="2" s="1"/>
  <c r="BO49" i="2" s="1"/>
  <c r="BO42" i="2" l="1"/>
  <c r="BO37" i="2"/>
  <c r="BO39" i="2" l="1"/>
  <c r="BO50" i="2"/>
  <c r="BP28" i="2"/>
  <c r="BP32" i="2" s="1"/>
  <c r="BP35" i="2" l="1"/>
  <c r="BP42" i="2"/>
  <c r="BP41" i="2"/>
  <c r="BP49" i="2" l="1"/>
  <c r="BP37" i="2" l="1"/>
  <c r="BP50" i="2" l="1"/>
  <c r="BP39" i="2"/>
  <c r="BR35" i="2" l="1"/>
  <c r="BR49" i="2" l="1"/>
  <c r="BR37" i="2"/>
  <c r="BR50" i="2" l="1"/>
  <c r="BR39" i="2"/>
  <c r="BS35" i="2" l="1"/>
  <c r="BS36" i="2" s="1"/>
  <c r="BS49" i="2" l="1"/>
  <c r="BS37" i="2" l="1"/>
  <c r="BS39" i="2" s="1"/>
  <c r="BS50" i="2" l="1"/>
  <c r="BT35" i="2"/>
  <c r="BT36" i="2" s="1"/>
  <c r="BT49" i="2" l="1"/>
  <c r="BT37" i="2" l="1"/>
  <c r="BT39" i="2" l="1"/>
  <c r="BT50" i="2"/>
  <c r="BU35" i="2" l="1"/>
  <c r="BU36" i="2" s="1"/>
  <c r="BU49" i="2" l="1"/>
  <c r="BU37" i="2" l="1"/>
  <c r="BU50" i="2" s="1"/>
  <c r="BU39" i="2" l="1"/>
  <c r="BV35" i="2"/>
  <c r="BV36" i="2" s="1"/>
  <c r="BV49" i="2" l="1"/>
  <c r="BV37" i="2" l="1"/>
  <c r="BV39" i="2" l="1"/>
  <c r="BV50" i="2"/>
  <c r="BW35" i="2" l="1"/>
  <c r="BW36" i="2" s="1"/>
  <c r="BW49" i="2" l="1"/>
  <c r="BW37" i="2" l="1"/>
  <c r="BW39" i="2" s="1"/>
  <c r="BX35" i="2" l="1"/>
  <c r="BX36" i="2" s="1"/>
  <c r="BW50" i="2"/>
  <c r="BX49" i="2" l="1"/>
  <c r="BX37" i="2" l="1"/>
  <c r="BY35" i="2" s="1"/>
  <c r="BY36" i="2" s="1"/>
  <c r="BX39" i="2" l="1"/>
  <c r="BX50" i="2"/>
  <c r="BY37" i="2"/>
  <c r="BY50" i="2" s="1"/>
  <c r="BY49" i="2"/>
  <c r="BZ35" i="2" l="1"/>
  <c r="BZ36" i="2" s="1"/>
  <c r="BY39" i="2"/>
  <c r="BZ37" i="2" l="1"/>
  <c r="BZ50" i="2" s="1"/>
  <c r="BZ49" i="2"/>
  <c r="CA35" i="2" l="1"/>
  <c r="CA36" i="2" s="1"/>
  <c r="BZ39" i="2"/>
  <c r="CA37" i="2" l="1"/>
  <c r="CA50" i="2" s="1"/>
  <c r="CA49" i="2"/>
  <c r="CB35" i="2" l="1"/>
  <c r="CB36" i="2" s="1"/>
  <c r="CA39" i="2"/>
  <c r="CB37" i="2" l="1"/>
  <c r="CB50" i="2" s="1"/>
  <c r="CB49" i="2"/>
  <c r="CC37" i="2" l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DE37" i="2" s="1"/>
  <c r="DF37" i="2" s="1"/>
  <c r="DG37" i="2" s="1"/>
  <c r="DH37" i="2" s="1"/>
  <c r="DI37" i="2" s="1"/>
  <c r="DJ37" i="2" s="1"/>
  <c r="DK37" i="2" s="1"/>
  <c r="DL37" i="2" s="1"/>
  <c r="DM37" i="2" s="1"/>
  <c r="DN37" i="2" s="1"/>
  <c r="DO37" i="2" s="1"/>
  <c r="DP37" i="2" s="1"/>
  <c r="DQ37" i="2" s="1"/>
  <c r="DR37" i="2" s="1"/>
  <c r="DS37" i="2" s="1"/>
  <c r="DT37" i="2" s="1"/>
  <c r="DU37" i="2" s="1"/>
  <c r="DV37" i="2" s="1"/>
  <c r="DW37" i="2" s="1"/>
  <c r="DX37" i="2" s="1"/>
  <c r="DY37" i="2" s="1"/>
  <c r="DZ37" i="2" s="1"/>
  <c r="EA37" i="2" s="1"/>
  <c r="EB37" i="2" s="1"/>
  <c r="EC37" i="2" s="1"/>
  <c r="ED37" i="2" s="1"/>
  <c r="EE37" i="2" s="1"/>
  <c r="EF37" i="2" s="1"/>
  <c r="EG37" i="2" s="1"/>
  <c r="EH37" i="2" s="1"/>
  <c r="EI37" i="2" s="1"/>
  <c r="EJ37" i="2" s="1"/>
  <c r="EK37" i="2" s="1"/>
  <c r="EL37" i="2" s="1"/>
  <c r="EM37" i="2" s="1"/>
  <c r="EN37" i="2" s="1"/>
  <c r="EO37" i="2" s="1"/>
  <c r="EP37" i="2" s="1"/>
  <c r="EQ37" i="2" s="1"/>
  <c r="ER37" i="2" s="1"/>
  <c r="ES37" i="2" s="1"/>
  <c r="ET37" i="2" s="1"/>
  <c r="CB39" i="2"/>
  <c r="BQ27" i="2"/>
  <c r="BQ28" i="2" s="1"/>
  <c r="AV28" i="2"/>
  <c r="AV32" i="2" s="1"/>
  <c r="AV42" i="2" l="1"/>
  <c r="AV35" i="2"/>
  <c r="BQ41" i="2"/>
  <c r="BQ32" i="2"/>
  <c r="AV41" i="2"/>
  <c r="BQ35" i="2" l="1"/>
  <c r="BQ42" i="2"/>
  <c r="AV37" i="2"/>
  <c r="AV50" i="2" l="1"/>
  <c r="AV39" i="2"/>
  <c r="BQ36" i="2"/>
  <c r="BQ49" i="2" s="1"/>
  <c r="AV49" i="2"/>
  <c r="BQ37" i="2" l="1"/>
  <c r="CE48" i="2" l="1"/>
  <c r="CE50" i="2" s="1"/>
  <c r="CE51" i="2" s="1"/>
  <c r="CE53" i="2" s="1"/>
  <c r="BQ39" i="2"/>
  <c r="BQ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S3" authorId="0" shapeId="0" xr:uid="{0DE635CC-5619-479D-A499-A6BCB32E0BD4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US + Canada</t>
        </r>
      </text>
    </comment>
  </commentList>
</comments>
</file>

<file path=xl/sharedStrings.xml><?xml version="1.0" encoding="utf-8"?>
<sst xmlns="http://schemas.openxmlformats.org/spreadsheetml/2006/main" count="171" uniqueCount="140">
  <si>
    <t>NFLX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</si>
  <si>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</si>
  <si>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</si>
  <si>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</si>
  <si>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</si>
  <si>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</si>
  <si>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</si>
  <si>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</si>
  <si>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</si>
  <si>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</si>
  <si>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</si>
  <si>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</si>
  <si>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</si>
  <si>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</si>
  <si>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</si>
  <si>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</si>
  <si>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</si>
  <si>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</si>
  <si>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</si>
  <si>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</si>
  <si>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</si>
  <si>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</si>
  <si>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</si>
  <si>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Q113</t>
  </si>
  <si>
    <t>Q213</t>
  </si>
  <si>
    <t>Q313</t>
  </si>
  <si>
    <t>Q413</t>
  </si>
  <si>
    <t>Cost of sales</t>
  </si>
  <si>
    <t>Gross profit</t>
  </si>
  <si>
    <t>R&amp;D</t>
  </si>
  <si>
    <t>Marketing</t>
  </si>
  <si>
    <t>G&amp;A</t>
  </si>
  <si>
    <t>Operating profit</t>
  </si>
  <si>
    <t>Interest expense</t>
  </si>
  <si>
    <t>Interest income</t>
  </si>
  <si>
    <t>Pretax income</t>
  </si>
  <si>
    <t>Taxes</t>
  </si>
  <si>
    <t>Net income</t>
  </si>
  <si>
    <t>EPS</t>
  </si>
  <si>
    <t>Content assets</t>
  </si>
  <si>
    <t>OCA</t>
  </si>
  <si>
    <t>Non-current content assets</t>
  </si>
  <si>
    <t>PPE</t>
  </si>
  <si>
    <t>ONCA</t>
  </si>
  <si>
    <t>Total assets</t>
  </si>
  <si>
    <t>Content liabilities</t>
  </si>
  <si>
    <t>A/P</t>
  </si>
  <si>
    <t>A/E</t>
  </si>
  <si>
    <t>D/R</t>
  </si>
  <si>
    <t>Non-current content liabilities</t>
  </si>
  <si>
    <t>Long-term debt</t>
  </si>
  <si>
    <t>ONCL</t>
  </si>
  <si>
    <t>Total liabilities</t>
  </si>
  <si>
    <t>S/E</t>
  </si>
  <si>
    <t>L+S/E</t>
  </si>
  <si>
    <t>Change in content assets</t>
  </si>
  <si>
    <t>Change in content liabilities</t>
  </si>
  <si>
    <t>D&amp;A</t>
  </si>
  <si>
    <t>SBC</t>
  </si>
  <si>
    <t>SBC tax benefit</t>
  </si>
  <si>
    <t>Other non-cash items</t>
  </si>
  <si>
    <t>Deferred taxes</t>
  </si>
  <si>
    <t>Changes in operating A&amp;L</t>
  </si>
  <si>
    <t>CFFO</t>
  </si>
  <si>
    <t>Net cash</t>
  </si>
  <si>
    <t>Revenue y/y</t>
  </si>
  <si>
    <t>Gross Margin</t>
  </si>
  <si>
    <t>Operating Margin</t>
  </si>
  <si>
    <t>Revenue q/q</t>
  </si>
  <si>
    <t>Marketing Margin</t>
  </si>
  <si>
    <t>Total users</t>
  </si>
  <si>
    <t>Domestic streamers</t>
  </si>
  <si>
    <t>International streamers</t>
  </si>
  <si>
    <t>Domestic DVD</t>
  </si>
  <si>
    <t>Domestic streamer revenue</t>
  </si>
  <si>
    <t>International streamer revenue</t>
  </si>
  <si>
    <t>Domestic DVD revenue</t>
  </si>
  <si>
    <t>Historically, first and fourth quarters represent our strongest net membership additions and our second quarter representing the lowest net membership additions</t>
  </si>
  <si>
    <t>Domestic streamer growth</t>
  </si>
  <si>
    <t>International streamer growth</t>
  </si>
  <si>
    <t>Domestic DVD growth</t>
  </si>
  <si>
    <t>DVD RPU</t>
  </si>
  <si>
    <t>Dom RPU</t>
  </si>
  <si>
    <t>Int RPU</t>
  </si>
  <si>
    <t>Maturity</t>
  </si>
  <si>
    <t>Discount rate</t>
  </si>
  <si>
    <t>NPV</t>
  </si>
  <si>
    <t>Value</t>
  </si>
  <si>
    <t>Per share</t>
  </si>
  <si>
    <t>Current price</t>
  </si>
  <si>
    <t>Variance</t>
  </si>
  <si>
    <t>Consensus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</si>
  <si>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</si>
  <si>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</si>
  <si>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</si>
  <si>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</si>
  <si>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</si>
  <si>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</si>
  <si>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</si>
  <si>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</si>
  <si>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</si>
  <si>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</si>
  <si>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</si>
  <si>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</si>
  <si>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</si>
  <si>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</si>
  <si>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</si>
  <si>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EMEA streamers</t>
  </si>
  <si>
    <t xml:space="preserve">LATAM streamers </t>
  </si>
  <si>
    <t>APAC streamers</t>
  </si>
  <si>
    <t>-</t>
  </si>
  <si>
    <t>EMEA streamer growth</t>
  </si>
  <si>
    <t>LATAM streamer growth</t>
  </si>
  <si>
    <t>APAC streamer growth</t>
  </si>
  <si>
    <t>Earnings</t>
  </si>
  <si>
    <t>Q420</t>
  </si>
  <si>
    <t>Q121</t>
  </si>
  <si>
    <t>Q221</t>
  </si>
  <si>
    <t>Q321</t>
  </si>
  <si>
    <t>Q421</t>
  </si>
  <si>
    <t>R&amp;D y/y</t>
  </si>
  <si>
    <t>G&amp;A y/y</t>
  </si>
  <si>
    <t>Net Margin</t>
  </si>
  <si>
    <t>Q124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</si>
  <si>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</si>
  <si>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</si>
  <si>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</si>
  <si>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</si>
  <si>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</si>
  <si>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</si>
  <si>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</si>
  <si>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</si>
  <si>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</si>
  <si>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</si>
  <si>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</si>
  <si>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Overvalued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</si>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</sst>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Inherit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0" fontId="4" fillId="0" borderId="0" xfId="0" applyFont="1"/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0</xdr:row>
      <xdr:rowOff>30480</xdr:rowOff>
    </xdr:from>
    <xdr:to>
      <xdr:col>14</xdr:col>
      <xdr:colOff>22860</xdr:colOff>
      <xdr:row>38</xdr:row>
      <xdr:rowOff>160020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9459993-2B60-4BA3-B21D-BEC3697E5216}"/>
            </a:ext>
          </a:extLst>
        </xdr:cNvPr>
        <xdr:cNvCxnSpPr/>
      </xdr:nvCxnSpPr>
      <xdr:spPr>
        <a:xfrm>
          <a:off x="9784080" y="30480"/>
          <a:ext cx="0" cy="5981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30480</xdr:colOff>
      <xdr:row>0</xdr:row>
      <xdr:rowOff>0</xdr:rowOff>
    </xdr:from>
    <xdr:to>
      <xdr:col>50</xdr:col>
      <xdr:colOff>30480</xdr:colOff>
      <xdr:row>59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F261597-9633-4E63-A4FC-16EA4FF3E1BA}"/>
            </a:ext>
          </a:extLst>
        </xdr:cNvPr>
        <xdr:cNvCxnSpPr/>
      </xdr:nvCxnSpPr>
      <xdr:spPr>
        <a:xfrm>
          <a:off x="31737300" y="0"/>
          <a:ext cx="0" cy="10896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30480</xdr:colOff>
      <xdr:row>0</xdr:row>
      <xdr:rowOff>0</xdr:rowOff>
    </xdr:from>
    <xdr:to>
      <xdr:col>69</xdr:col>
      <xdr:colOff>30480</xdr:colOff>
      <xdr:row>65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AA41875-6B6B-4B1A-990C-CE49EB666F52}"/>
            </a:ext>
          </a:extLst>
        </xdr:cNvPr>
        <xdr:cNvCxnSpPr/>
      </xdr:nvCxnSpPr>
      <xdr:spPr>
        <a:xfrm>
          <a:off x="43319700" y="0"/>
          <a:ext cx="0" cy="1197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C322-93AA-479D-AFD9-53860A6AE62F}">
  <dimension ref="B2:G12"/>
  <sheetViews>
    <sheetView workbookViewId="0">
      <selection activeCell="D4" sqref="D4"/>
    </sheetView>
  </sheetViews>
  <sheetFormatPr defaultRowHeight="14.4"/>
  <cols>
    <col min="5" max="7" width="15.77734375" style="3" customWidth="1"/>
  </cols>
  <sheetData>
    <row r="2" spans="2:7">
      <c r="E2" s="3" t="s">
        <v>8</v>
      </c>
      <c r="F2" s="3" t="s">
        <v>9</v>
      </c>
      <c r="G2" s="3" t="s">
        <v>114</v>
      </c>
    </row>
    <row r="3" spans="2:7">
      <c r="B3" s="1" t="s">
        <v>0</v>
      </c>
      <c r="C3" t="s">
        <v>1</v>
      </c>
      <c r="D3" s="17">
        <v>996.3</v>
      </c>
      <c r="E3" s="4">
        <v>45769</v>
      </c>
      <c r="F3" s="4">
        <f ca="1">TODAY()</f>
        <v>45769</v>
      </c>
      <c r="G3" s="4">
        <v>45854</v>
      </c>
    </row>
    <row r="4" spans="2:7">
      <c r="C4" t="s">
        <v>2</v>
      </c>
      <c r="D4" s="2">
        <v>425.7</v>
      </c>
      <c r="E4" s="3" t="s">
        <v>136</v>
      </c>
    </row>
    <row r="5" spans="2:7">
      <c r="C5" t="s">
        <v>3</v>
      </c>
      <c r="D5" s="2">
        <f>D3*D4</f>
        <v>424124.91</v>
      </c>
    </row>
    <row r="6" spans="2:7">
      <c r="C6" t="s">
        <v>4</v>
      </c>
      <c r="D6" s="2">
        <f>7199.8+1171.1</f>
        <v>8370.9</v>
      </c>
      <c r="E6" s="3" t="s">
        <v>136</v>
      </c>
    </row>
    <row r="7" spans="2:7">
      <c r="C7" t="s">
        <v>5</v>
      </c>
      <c r="D7" s="2">
        <f>1005.9+14011</f>
        <v>15016.9</v>
      </c>
      <c r="E7" s="3" t="s">
        <v>136</v>
      </c>
    </row>
    <row r="8" spans="2:7">
      <c r="C8" t="s">
        <v>6</v>
      </c>
      <c r="D8" s="2">
        <f>D6-D7</f>
        <v>-6646</v>
      </c>
    </row>
    <row r="9" spans="2:7">
      <c r="C9" t="s">
        <v>7</v>
      </c>
      <c r="D9" s="2">
        <f>D5-D8</f>
        <v>430770.91</v>
      </c>
    </row>
    <row r="12" spans="2:7">
      <c r="C12" s="13" t="s">
        <v>77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5757-034B-4DCF-8358-9B54697CFAEA}">
  <dimension ref="B2:ET83"/>
  <sheetViews>
    <sheetView tabSelected="1" zoomScaleNormal="100" workbookViewId="0">
      <pane xSplit="2" ySplit="2" topLeftCell="BQ28" activePane="bottomRight" state="frozen"/>
      <selection pane="topRight" activeCell="C1" sqref="C1"/>
      <selection pane="bottomLeft" activeCell="A3" sqref="A3"/>
      <selection pane="bottomRight" activeCell="CE54" sqref="CE54"/>
    </sheetView>
  </sheetViews>
  <sheetFormatPr defaultRowHeight="14.4"/>
  <cols>
    <col min="2" max="2" width="26.77734375" bestFit="1" customWidth="1"/>
    <col min="77" max="79" width="8.88671875" customWidth="1"/>
    <col min="82" max="82" width="12" bestFit="1" customWidth="1"/>
    <col min="83" max="83" width="17.33203125" bestFit="1" customWidth="1"/>
  </cols>
  <sheetData>
    <row r="2" spans="2:80">
      <c r="C2" s="5" t="s">
        <v>23</v>
      </c>
      <c r="D2" s="5" t="s">
        <v>24</v>
      </c>
      <c r="E2" s="5" t="s">
        <v>25</v>
      </c>
      <c r="F2" s="5" t="s">
        <v>26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10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92</v>
      </c>
      <c r="T2" s="5" t="s">
        <v>93</v>
      </c>
      <c r="U2" s="5" t="s">
        <v>94</v>
      </c>
      <c r="V2" s="5" t="s">
        <v>95</v>
      </c>
      <c r="W2" s="5" t="s">
        <v>96</v>
      </c>
      <c r="X2" s="5" t="s">
        <v>97</v>
      </c>
      <c r="Y2" s="5" t="s">
        <v>98</v>
      </c>
      <c r="Z2" s="5" t="s">
        <v>99</v>
      </c>
      <c r="AA2" s="5" t="s">
        <v>100</v>
      </c>
      <c r="AB2" s="5" t="s">
        <v>101</v>
      </c>
      <c r="AC2" s="5" t="s">
        <v>102</v>
      </c>
      <c r="AD2" s="5" t="s">
        <v>103</v>
      </c>
      <c r="AE2" s="5" t="s">
        <v>104</v>
      </c>
      <c r="AF2" s="5" t="s">
        <v>105</v>
      </c>
      <c r="AG2" s="5" t="s">
        <v>106</v>
      </c>
      <c r="AH2" s="5" t="s">
        <v>115</v>
      </c>
      <c r="AI2" s="5" t="s">
        <v>116</v>
      </c>
      <c r="AJ2" s="5" t="s">
        <v>117</v>
      </c>
      <c r="AK2" s="5" t="s">
        <v>118</v>
      </c>
      <c r="AL2" s="5" t="s">
        <v>119</v>
      </c>
      <c r="AM2" s="5" t="s">
        <v>124</v>
      </c>
      <c r="AN2" s="5" t="s">
        <v>125</v>
      </c>
      <c r="AO2" s="5" t="s">
        <v>126</v>
      </c>
      <c r="AP2" s="5" t="s">
        <v>127</v>
      </c>
      <c r="AQ2" s="5" t="s">
        <v>128</v>
      </c>
      <c r="AR2" s="5" t="s">
        <v>129</v>
      </c>
      <c r="AS2" s="5" t="s">
        <v>130</v>
      </c>
      <c r="AT2" s="5" t="s">
        <v>131</v>
      </c>
      <c r="AU2" s="5" t="s">
        <v>123</v>
      </c>
      <c r="AV2" s="5" t="s">
        <v>132</v>
      </c>
      <c r="AW2" s="5" t="s">
        <v>133</v>
      </c>
      <c r="AX2" s="5" t="s">
        <v>134</v>
      </c>
      <c r="AY2" s="5" t="s">
        <v>136</v>
      </c>
      <c r="AZ2" s="5" t="s">
        <v>137</v>
      </c>
      <c r="BA2" s="5" t="s">
        <v>138</v>
      </c>
      <c r="BB2" s="5" t="s">
        <v>139</v>
      </c>
      <c r="BC2" s="5"/>
      <c r="BD2">
        <v>2011</v>
      </c>
      <c r="BE2">
        <v>2012</v>
      </c>
      <c r="BF2">
        <v>2013</v>
      </c>
      <c r="BG2">
        <v>2014</v>
      </c>
      <c r="BH2">
        <v>2015</v>
      </c>
      <c r="BI2">
        <v>2016</v>
      </c>
      <c r="BJ2">
        <v>2017</v>
      </c>
      <c r="BK2">
        <v>2018</v>
      </c>
      <c r="BL2">
        <v>2019</v>
      </c>
      <c r="BM2">
        <v>2020</v>
      </c>
      <c r="BN2">
        <v>2021</v>
      </c>
      <c r="BO2">
        <v>2022</v>
      </c>
      <c r="BP2">
        <v>2023</v>
      </c>
      <c r="BQ2">
        <v>2024</v>
      </c>
      <c r="BR2">
        <v>2025</v>
      </c>
      <c r="BS2">
        <v>2026</v>
      </c>
      <c r="BT2">
        <v>2027</v>
      </c>
      <c r="BU2">
        <v>2028</v>
      </c>
      <c r="BV2">
        <v>2029</v>
      </c>
      <c r="BW2">
        <v>2030</v>
      </c>
      <c r="BX2">
        <v>2031</v>
      </c>
      <c r="BY2">
        <v>2032</v>
      </c>
      <c r="BZ2">
        <v>2033</v>
      </c>
      <c r="CA2">
        <v>2034</v>
      </c>
      <c r="CB2">
        <v>2035</v>
      </c>
    </row>
    <row r="3" spans="2:80">
      <c r="B3" t="s">
        <v>71</v>
      </c>
      <c r="C3" s="11"/>
      <c r="D3" s="11"/>
      <c r="E3" s="11"/>
      <c r="F3" s="11"/>
      <c r="G3" s="11">
        <v>35.673999999999999</v>
      </c>
      <c r="H3" s="11">
        <v>36.244</v>
      </c>
      <c r="I3" s="11">
        <v>37.219000000000001</v>
      </c>
      <c r="J3" s="11">
        <v>39.113999999999997</v>
      </c>
      <c r="K3" s="11">
        <v>41.396999999999998</v>
      </c>
      <c r="L3" s="11">
        <v>42.3</v>
      </c>
      <c r="M3" s="11">
        <v>43.180999999999997</v>
      </c>
      <c r="N3" s="11">
        <v>43.4</v>
      </c>
      <c r="O3" s="11">
        <v>45.71</v>
      </c>
      <c r="P3" s="11">
        <v>46</v>
      </c>
      <c r="Q3" s="11">
        <v>46.48</v>
      </c>
      <c r="R3" s="11">
        <v>47.91</v>
      </c>
      <c r="S3" s="11">
        <v>54.6</v>
      </c>
      <c r="T3" s="11">
        <v>55.6</v>
      </c>
      <c r="U3" s="11">
        <v>56.8</v>
      </c>
      <c r="V3" s="11">
        <v>58.4</v>
      </c>
      <c r="W3" s="11">
        <v>55.09</v>
      </c>
      <c r="X3" s="11">
        <v>55.96</v>
      </c>
      <c r="Y3" s="11">
        <v>56.96</v>
      </c>
      <c r="Z3" s="11">
        <v>64.760000000000005</v>
      </c>
      <c r="AA3" s="11">
        <v>66.63</v>
      </c>
      <c r="AB3" s="11">
        <v>66.5</v>
      </c>
      <c r="AC3" s="11">
        <v>67.11</v>
      </c>
      <c r="AD3" s="11">
        <v>67.66</v>
      </c>
      <c r="AE3" s="11">
        <v>69.97</v>
      </c>
      <c r="AF3" s="11">
        <v>72.900000000000006</v>
      </c>
      <c r="AG3" s="11">
        <v>73.08</v>
      </c>
      <c r="AH3" s="11">
        <v>73.94</v>
      </c>
      <c r="AI3" s="11">
        <v>74.400000000000006</v>
      </c>
      <c r="AJ3" s="11">
        <f>AF3*1.03</f>
        <v>75.087000000000003</v>
      </c>
      <c r="AK3" s="11">
        <f>AG3*1.04</f>
        <v>76.003200000000007</v>
      </c>
      <c r="AL3" s="11">
        <f>AH3*1.06</f>
        <v>78.376400000000004</v>
      </c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G3" s="15">
        <f>J3</f>
        <v>39.113999999999997</v>
      </c>
      <c r="BH3" s="2">
        <f>N3</f>
        <v>43.4</v>
      </c>
      <c r="BI3" s="15">
        <f>R3</f>
        <v>47.91</v>
      </c>
      <c r="BJ3" s="15">
        <f>V3</f>
        <v>58.4</v>
      </c>
      <c r="BK3" s="2">
        <f>Z3</f>
        <v>64.760000000000005</v>
      </c>
      <c r="BL3" s="2">
        <f>AD3</f>
        <v>67.66</v>
      </c>
      <c r="BM3" s="2">
        <f>AH3</f>
        <v>73.94</v>
      </c>
      <c r="BN3" s="2">
        <f>AL3</f>
        <v>78.376400000000004</v>
      </c>
      <c r="BO3" s="2"/>
      <c r="BP3" s="2"/>
      <c r="BQ3" s="2">
        <f>BP3*1.05</f>
        <v>0</v>
      </c>
      <c r="BR3" s="2">
        <f>BQ3*1.04</f>
        <v>0</v>
      </c>
      <c r="BS3" s="2">
        <f>BR3*1.04</f>
        <v>0</v>
      </c>
      <c r="BT3" s="2">
        <f>BS3*1.03</f>
        <v>0</v>
      </c>
      <c r="BU3" s="2">
        <f>BT3*1.03</f>
        <v>0</v>
      </c>
      <c r="BV3" s="2">
        <f>BU3*1.03</f>
        <v>0</v>
      </c>
      <c r="BW3" s="2">
        <f>BV3*1.02</f>
        <v>0</v>
      </c>
      <c r="BX3" s="2">
        <f>BW3*1.02</f>
        <v>0</v>
      </c>
    </row>
    <row r="4" spans="2:80">
      <c r="B4" t="s">
        <v>107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>
        <v>19.7</v>
      </c>
      <c r="T4" s="11">
        <v>21.2</v>
      </c>
      <c r="U4" s="11">
        <v>23.1</v>
      </c>
      <c r="V4" s="11">
        <v>26</v>
      </c>
      <c r="W4" s="11">
        <v>29.3</v>
      </c>
      <c r="X4" s="11">
        <v>31.3</v>
      </c>
      <c r="Y4" s="11">
        <v>33.799999999999997</v>
      </c>
      <c r="Z4" s="11">
        <v>37.82</v>
      </c>
      <c r="AA4" s="11">
        <v>42.54</v>
      </c>
      <c r="AB4" s="11">
        <v>44.23</v>
      </c>
      <c r="AC4" s="11">
        <v>47.36</v>
      </c>
      <c r="AD4" s="11">
        <v>51.78</v>
      </c>
      <c r="AE4" s="11">
        <v>58.73</v>
      </c>
      <c r="AF4" s="11">
        <v>61.48</v>
      </c>
      <c r="AG4" s="11">
        <v>62.24</v>
      </c>
      <c r="AH4" s="2">
        <v>66.7</v>
      </c>
      <c r="AI4" s="2">
        <v>68.5</v>
      </c>
      <c r="AJ4" s="2">
        <f>AF4*1.14</f>
        <v>70.087199999999996</v>
      </c>
      <c r="AK4" s="2">
        <f>AG4*1.14</f>
        <v>70.953599999999994</v>
      </c>
      <c r="AL4" s="2">
        <f>AH4*1.1</f>
        <v>73.37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G4" s="2"/>
      <c r="BH4" s="2"/>
      <c r="BI4" s="2"/>
      <c r="BJ4" s="15">
        <f t="shared" ref="BJ4:BJ6" si="0">V4</f>
        <v>26</v>
      </c>
      <c r="BK4" s="2">
        <f t="shared" ref="BK4:BK6" si="1">Z4</f>
        <v>37.82</v>
      </c>
      <c r="BL4" s="2">
        <f t="shared" ref="BL4:BL6" si="2">AD4</f>
        <v>51.78</v>
      </c>
      <c r="BM4" s="2">
        <f t="shared" ref="BM4" si="3">AH4</f>
        <v>66.7</v>
      </c>
      <c r="BN4" s="2">
        <f>AL4</f>
        <v>73.37</v>
      </c>
      <c r="BO4" s="2"/>
      <c r="BP4" s="2"/>
      <c r="BQ4" s="2">
        <f>BP4*1.1</f>
        <v>0</v>
      </c>
      <c r="BR4" s="2">
        <f>BQ4*1.1</f>
        <v>0</v>
      </c>
      <c r="BS4" s="2">
        <f>BR4*1.08</f>
        <v>0</v>
      </c>
      <c r="BT4" s="2">
        <f t="shared" ref="BT4:BU4" si="4">BS4*1.08</f>
        <v>0</v>
      </c>
      <c r="BU4" s="2">
        <f t="shared" si="4"/>
        <v>0</v>
      </c>
      <c r="BV4" s="2">
        <f>BU4*1.07</f>
        <v>0</v>
      </c>
      <c r="BW4" s="2">
        <f>BV4*1.05</f>
        <v>0</v>
      </c>
      <c r="BX4" s="2">
        <f>BW4*1.04</f>
        <v>0</v>
      </c>
    </row>
    <row r="5" spans="2:80">
      <c r="B5" t="s">
        <v>108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>
        <v>15.4</v>
      </c>
      <c r="T5" s="11">
        <v>17</v>
      </c>
      <c r="U5" s="11">
        <v>18.3</v>
      </c>
      <c r="V5" s="11">
        <v>19.7</v>
      </c>
      <c r="W5" s="11">
        <v>21.3</v>
      </c>
      <c r="X5" s="11">
        <v>22.8</v>
      </c>
      <c r="Y5" s="11">
        <v>24.1</v>
      </c>
      <c r="Z5" s="11">
        <v>26.08</v>
      </c>
      <c r="AA5" s="11">
        <v>27.55</v>
      </c>
      <c r="AB5" s="11">
        <v>27.89</v>
      </c>
      <c r="AC5" s="11">
        <v>29.38</v>
      </c>
      <c r="AD5" s="11">
        <v>31.42</v>
      </c>
      <c r="AE5" s="11">
        <v>34.32</v>
      </c>
      <c r="AF5" s="11">
        <v>36.07</v>
      </c>
      <c r="AG5" s="11">
        <v>36.32</v>
      </c>
      <c r="AH5" s="11">
        <v>37.54</v>
      </c>
      <c r="AI5" s="2">
        <v>37.9</v>
      </c>
      <c r="AJ5" s="2">
        <f>AF5*1.08</f>
        <v>38.955600000000004</v>
      </c>
      <c r="AK5" s="2">
        <f>AG5*1.08</f>
        <v>39.2256</v>
      </c>
      <c r="AL5" s="2">
        <f>AH5*1.1</f>
        <v>41.294000000000004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G5" s="2"/>
      <c r="BH5" s="2"/>
      <c r="BI5" s="2"/>
      <c r="BJ5" s="15">
        <f t="shared" si="0"/>
        <v>19.7</v>
      </c>
      <c r="BK5" s="2">
        <f t="shared" si="1"/>
        <v>26.08</v>
      </c>
      <c r="BL5" s="2">
        <f t="shared" si="2"/>
        <v>31.42</v>
      </c>
      <c r="BM5" s="2">
        <f>AH5</f>
        <v>37.54</v>
      </c>
      <c r="BN5" s="2">
        <f>AL5</f>
        <v>41.294000000000004</v>
      </c>
      <c r="BO5" s="2"/>
      <c r="BP5" s="2"/>
      <c r="BQ5" s="2">
        <f>BP5*1.1</f>
        <v>0</v>
      </c>
      <c r="BR5" s="2">
        <f>BQ5*1.09</f>
        <v>0</v>
      </c>
      <c r="BS5" s="2">
        <f>BR5*1.08</f>
        <v>0</v>
      </c>
      <c r="BT5" s="2">
        <f>BS5*1.07</f>
        <v>0</v>
      </c>
      <c r="BU5" s="2">
        <f>BT5*1.06</f>
        <v>0</v>
      </c>
      <c r="BV5" s="2">
        <f>BU5*1.05</f>
        <v>0</v>
      </c>
      <c r="BW5" s="2">
        <f>BV5*1.05</f>
        <v>0</v>
      </c>
      <c r="BX5" s="2">
        <f>BW5*1.03</f>
        <v>0</v>
      </c>
    </row>
    <row r="6" spans="2:80">
      <c r="B6" t="s">
        <v>109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>
        <v>4.7</v>
      </c>
      <c r="T6" s="11">
        <v>5.3</v>
      </c>
      <c r="U6" s="11">
        <v>5.8</v>
      </c>
      <c r="V6" s="11">
        <v>6.5</v>
      </c>
      <c r="W6" s="11">
        <v>7.4</v>
      </c>
      <c r="X6" s="11">
        <v>8.4</v>
      </c>
      <c r="Y6" s="11">
        <v>9.5</v>
      </c>
      <c r="Z6" s="11">
        <v>10.61</v>
      </c>
      <c r="AA6" s="11">
        <v>12.14</v>
      </c>
      <c r="AB6" s="11">
        <v>12.94</v>
      </c>
      <c r="AC6" s="11">
        <v>14.49</v>
      </c>
      <c r="AD6" s="11">
        <v>16.23</v>
      </c>
      <c r="AE6" s="11">
        <v>19.84</v>
      </c>
      <c r="AF6" s="11">
        <v>22.49</v>
      </c>
      <c r="AG6" s="11">
        <v>23.5</v>
      </c>
      <c r="AH6" s="11">
        <v>25.5</v>
      </c>
      <c r="AI6" s="2">
        <v>26.9</v>
      </c>
      <c r="AJ6" s="2">
        <f>AF6*1.3</f>
        <v>29.236999999999998</v>
      </c>
      <c r="AK6" s="2">
        <f t="shared" ref="AK6:AL6" si="5">AG6*1.3</f>
        <v>30.55</v>
      </c>
      <c r="AL6" s="2">
        <f t="shared" si="5"/>
        <v>33.15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G6" s="2"/>
      <c r="BH6" s="2"/>
      <c r="BI6" s="2"/>
      <c r="BJ6" s="15">
        <f t="shared" si="0"/>
        <v>6.5</v>
      </c>
      <c r="BK6" s="2">
        <f t="shared" si="1"/>
        <v>10.61</v>
      </c>
      <c r="BL6" s="2">
        <f t="shared" si="2"/>
        <v>16.23</v>
      </c>
      <c r="BM6" s="2">
        <f>AH6</f>
        <v>25.5</v>
      </c>
      <c r="BN6" s="2">
        <f>AL6</f>
        <v>33.15</v>
      </c>
      <c r="BO6" s="2"/>
      <c r="BP6" s="2"/>
      <c r="BQ6" s="2">
        <f>BP6*1.2</f>
        <v>0</v>
      </c>
      <c r="BR6" s="2">
        <f>BQ6*1.15</f>
        <v>0</v>
      </c>
      <c r="BS6" s="2">
        <f>BR6*1.1</f>
        <v>0</v>
      </c>
      <c r="BT6" s="2">
        <f>BS6*1.1</f>
        <v>0</v>
      </c>
      <c r="BU6" s="2">
        <f>BT6*1.1</f>
        <v>0</v>
      </c>
      <c r="BV6" s="2">
        <f>BU6*1.08</f>
        <v>0</v>
      </c>
      <c r="BW6" s="2">
        <f>BV6*1.08</f>
        <v>0</v>
      </c>
      <c r="BX6" s="2">
        <f>BW6*1.05</f>
        <v>0</v>
      </c>
    </row>
    <row r="7" spans="2:80">
      <c r="B7" t="s">
        <v>72</v>
      </c>
      <c r="C7" s="11"/>
      <c r="D7" s="11"/>
      <c r="E7" s="11"/>
      <c r="F7" s="11"/>
      <c r="G7" s="11">
        <v>12.683</v>
      </c>
      <c r="H7" s="11">
        <v>13.801</v>
      </c>
      <c r="I7" s="11">
        <v>15.843</v>
      </c>
      <c r="J7" s="11">
        <v>18.277000000000001</v>
      </c>
      <c r="K7" s="11">
        <v>20.876999999999999</v>
      </c>
      <c r="L7" s="11">
        <v>23.251000000000001</v>
      </c>
      <c r="M7" s="11">
        <v>25.986999999999998</v>
      </c>
      <c r="N7" s="11">
        <v>27.44</v>
      </c>
      <c r="O7" s="11">
        <v>31.99</v>
      </c>
      <c r="P7" s="11">
        <v>33.89</v>
      </c>
      <c r="Q7" s="11">
        <v>36.799999999999997</v>
      </c>
      <c r="R7" s="11">
        <v>41.19</v>
      </c>
      <c r="S7" s="11">
        <f t="shared" ref="S7:Y7" si="6">S4+S5+S6</f>
        <v>39.800000000000004</v>
      </c>
      <c r="T7" s="11">
        <f t="shared" si="6"/>
        <v>43.5</v>
      </c>
      <c r="U7" s="11">
        <f t="shared" si="6"/>
        <v>47.2</v>
      </c>
      <c r="V7" s="11">
        <f t="shared" si="6"/>
        <v>52.2</v>
      </c>
      <c r="W7" s="11">
        <f t="shared" si="6"/>
        <v>58</v>
      </c>
      <c r="X7" s="11">
        <f t="shared" si="6"/>
        <v>62.5</v>
      </c>
      <c r="Y7" s="11">
        <f t="shared" si="6"/>
        <v>67.400000000000006</v>
      </c>
      <c r="Z7" s="11">
        <f t="shared" ref="Z7:AA7" si="7">Z4+Z5+Z6</f>
        <v>74.509999999999991</v>
      </c>
      <c r="AA7" s="11">
        <f t="shared" si="7"/>
        <v>82.23</v>
      </c>
      <c r="AB7" s="11">
        <f>AB4+AB5+AB6</f>
        <v>85.06</v>
      </c>
      <c r="AC7" s="11">
        <f t="shared" ref="AC7:AF7" si="8">AC4+AC5+AC6</f>
        <v>91.22999999999999</v>
      </c>
      <c r="AD7" s="11">
        <f t="shared" si="8"/>
        <v>99.43</v>
      </c>
      <c r="AE7" s="11">
        <f t="shared" si="8"/>
        <v>112.89</v>
      </c>
      <c r="AF7" s="11">
        <f t="shared" si="8"/>
        <v>120.03999999999999</v>
      </c>
      <c r="AG7" s="11">
        <f>AG4+AG5+AG6</f>
        <v>122.06</v>
      </c>
      <c r="AH7" s="11">
        <f>AH4+AH5+AH6</f>
        <v>129.74</v>
      </c>
      <c r="AI7" s="11">
        <f t="shared" ref="AI7:AL7" si="9">AI4+AI5+AI6</f>
        <v>133.30000000000001</v>
      </c>
      <c r="AJ7" s="11">
        <f t="shared" si="9"/>
        <v>138.27979999999999</v>
      </c>
      <c r="AK7" s="11">
        <f t="shared" si="9"/>
        <v>140.72919999999999</v>
      </c>
      <c r="AL7" s="11">
        <f t="shared" si="9"/>
        <v>147.81400000000002</v>
      </c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G7" s="2">
        <f>AVERAGE(G7:J7)</f>
        <v>15.151</v>
      </c>
      <c r="BH7" s="2">
        <f>AVERAGE(K7:N7)</f>
        <v>24.388749999999998</v>
      </c>
      <c r="BI7" s="2">
        <f>AVERAGE(O7:R7)</f>
        <v>35.967500000000001</v>
      </c>
      <c r="BJ7" s="15">
        <f t="shared" ref="BJ7:BW7" si="10">BJ4+BJ5+BJ6</f>
        <v>52.2</v>
      </c>
      <c r="BK7" s="15">
        <f t="shared" si="10"/>
        <v>74.509999999999991</v>
      </c>
      <c r="BL7" s="15">
        <f t="shared" si="10"/>
        <v>99.43</v>
      </c>
      <c r="BM7" s="15">
        <f t="shared" si="10"/>
        <v>129.74</v>
      </c>
      <c r="BN7" s="15">
        <f t="shared" si="10"/>
        <v>147.81400000000002</v>
      </c>
      <c r="BO7" s="15"/>
      <c r="BP7" s="15"/>
      <c r="BQ7" s="15">
        <f t="shared" si="10"/>
        <v>0</v>
      </c>
      <c r="BR7" s="15">
        <f t="shared" si="10"/>
        <v>0</v>
      </c>
      <c r="BS7" s="15">
        <f t="shared" si="10"/>
        <v>0</v>
      </c>
      <c r="BT7" s="15">
        <f t="shared" si="10"/>
        <v>0</v>
      </c>
      <c r="BU7" s="15">
        <f t="shared" si="10"/>
        <v>0</v>
      </c>
      <c r="BV7" s="15">
        <f t="shared" si="10"/>
        <v>0</v>
      </c>
      <c r="BW7" s="15">
        <f t="shared" si="10"/>
        <v>0</v>
      </c>
      <c r="BX7" s="15">
        <f t="shared" ref="BX7" si="11">BX4+BX5+BX6</f>
        <v>0</v>
      </c>
    </row>
    <row r="8" spans="2:80">
      <c r="B8" t="s">
        <v>73</v>
      </c>
      <c r="C8" s="11"/>
      <c r="D8" s="11"/>
      <c r="E8" s="11"/>
      <c r="F8" s="11"/>
      <c r="G8" s="11">
        <v>6.6520000000000001</v>
      </c>
      <c r="H8" s="11">
        <v>6.2610000000000001</v>
      </c>
      <c r="I8" s="11">
        <v>5.9859999999999998</v>
      </c>
      <c r="J8" s="11">
        <v>5.7670000000000003</v>
      </c>
      <c r="K8" s="11">
        <v>5.5640000000000001</v>
      </c>
      <c r="L8" s="11">
        <v>5.3140000000000001</v>
      </c>
      <c r="M8" s="11">
        <v>5.0599999999999996</v>
      </c>
      <c r="N8" s="11">
        <v>4.9039999999999999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5"/>
      <c r="AI8" s="15"/>
      <c r="AJ8" s="15"/>
      <c r="AK8" s="15"/>
      <c r="BG8" s="2">
        <f>AVERAGE(G8:J8)</f>
        <v>6.1665000000000001</v>
      </c>
      <c r="BH8" s="2">
        <f>AVERAGE(K8:N8)</f>
        <v>5.2104999999999997</v>
      </c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2:80" s="1" customFormat="1">
      <c r="B9" s="1" t="s">
        <v>70</v>
      </c>
      <c r="C9" s="12"/>
      <c r="D9" s="12"/>
      <c r="E9" s="12"/>
      <c r="F9" s="12"/>
      <c r="G9" s="12">
        <f t="shared" ref="G9:U9" si="12">G3+G7+G8</f>
        <v>55.009</v>
      </c>
      <c r="H9" s="12">
        <f t="shared" si="12"/>
        <v>56.306000000000004</v>
      </c>
      <c r="I9" s="12">
        <f t="shared" si="12"/>
        <v>59.047999999999995</v>
      </c>
      <c r="J9" s="12">
        <f t="shared" si="12"/>
        <v>63.158000000000001</v>
      </c>
      <c r="K9" s="12">
        <f t="shared" si="12"/>
        <v>67.837999999999994</v>
      </c>
      <c r="L9" s="12">
        <f t="shared" si="12"/>
        <v>70.865000000000009</v>
      </c>
      <c r="M9" s="12">
        <f t="shared" si="12"/>
        <v>74.227999999999994</v>
      </c>
      <c r="N9" s="12">
        <f t="shared" si="12"/>
        <v>75.744</v>
      </c>
      <c r="O9" s="12">
        <f t="shared" si="12"/>
        <v>77.7</v>
      </c>
      <c r="P9" s="12">
        <f t="shared" si="12"/>
        <v>79.89</v>
      </c>
      <c r="Q9" s="12">
        <f t="shared" si="12"/>
        <v>83.28</v>
      </c>
      <c r="R9" s="12">
        <f t="shared" si="12"/>
        <v>89.1</v>
      </c>
      <c r="S9" s="12">
        <f t="shared" si="12"/>
        <v>94.4</v>
      </c>
      <c r="T9" s="12">
        <f t="shared" si="12"/>
        <v>99.1</v>
      </c>
      <c r="U9" s="12">
        <f t="shared" si="12"/>
        <v>104</v>
      </c>
      <c r="V9" s="12">
        <f t="shared" ref="V9:Y9" si="13">V3+V7+V8</f>
        <v>110.6</v>
      </c>
      <c r="W9" s="12">
        <f t="shared" si="13"/>
        <v>113.09</v>
      </c>
      <c r="X9" s="12">
        <f t="shared" si="13"/>
        <v>118.46000000000001</v>
      </c>
      <c r="Y9" s="12">
        <f t="shared" si="13"/>
        <v>124.36000000000001</v>
      </c>
      <c r="Z9" s="12">
        <f t="shared" ref="Z9:AB9" si="14">Z3+Z7+Z8</f>
        <v>139.26999999999998</v>
      </c>
      <c r="AA9" s="12">
        <f t="shared" si="14"/>
        <v>148.86000000000001</v>
      </c>
      <c r="AB9" s="12">
        <f t="shared" si="14"/>
        <v>151.56</v>
      </c>
      <c r="AC9" s="12">
        <f t="shared" ref="AC9" si="15">AC3+AC7+AC8</f>
        <v>158.33999999999997</v>
      </c>
      <c r="AD9" s="12">
        <f t="shared" ref="AD9" si="16">AD3+AD7+AD8</f>
        <v>167.09</v>
      </c>
      <c r="AE9" s="12">
        <f t="shared" ref="AE9" si="17">AE3+AE7+AE8</f>
        <v>182.86</v>
      </c>
      <c r="AF9" s="12">
        <f t="shared" ref="AF9:AL9" si="18">AF3+AF7+AF8</f>
        <v>192.94</v>
      </c>
      <c r="AG9" s="12">
        <f t="shared" si="18"/>
        <v>195.14</v>
      </c>
      <c r="AH9" s="12">
        <f t="shared" si="18"/>
        <v>203.68</v>
      </c>
      <c r="AI9" s="12">
        <f t="shared" si="18"/>
        <v>207.70000000000002</v>
      </c>
      <c r="AJ9" s="12">
        <f t="shared" si="18"/>
        <v>213.36680000000001</v>
      </c>
      <c r="AK9" s="12">
        <f t="shared" si="18"/>
        <v>216.73239999999998</v>
      </c>
      <c r="AL9" s="12">
        <f t="shared" si="18"/>
        <v>226.19040000000001</v>
      </c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G9" s="16">
        <f t="shared" ref="BG9:BW9" si="19">BG3+BG7+BG8</f>
        <v>60.4315</v>
      </c>
      <c r="BH9" s="16">
        <f t="shared" si="19"/>
        <v>72.999249999999989</v>
      </c>
      <c r="BI9" s="16">
        <f t="shared" si="19"/>
        <v>83.877499999999998</v>
      </c>
      <c r="BJ9" s="16">
        <f t="shared" si="19"/>
        <v>110.6</v>
      </c>
      <c r="BK9" s="16">
        <f t="shared" si="19"/>
        <v>139.26999999999998</v>
      </c>
      <c r="BL9" s="16">
        <f t="shared" si="19"/>
        <v>167.09</v>
      </c>
      <c r="BM9" s="16">
        <f t="shared" si="19"/>
        <v>203.68</v>
      </c>
      <c r="BN9" s="16">
        <f t="shared" si="19"/>
        <v>226.19040000000001</v>
      </c>
      <c r="BO9" s="16">
        <f t="shared" si="19"/>
        <v>0</v>
      </c>
      <c r="BP9" s="16">
        <f t="shared" si="19"/>
        <v>0</v>
      </c>
      <c r="BQ9" s="16">
        <f t="shared" si="19"/>
        <v>0</v>
      </c>
      <c r="BR9" s="16">
        <f t="shared" si="19"/>
        <v>0</v>
      </c>
      <c r="BS9" s="16">
        <f t="shared" si="19"/>
        <v>0</v>
      </c>
      <c r="BT9" s="16">
        <f t="shared" si="19"/>
        <v>0</v>
      </c>
      <c r="BU9" s="16">
        <f t="shared" si="19"/>
        <v>0</v>
      </c>
      <c r="BV9" s="16">
        <f t="shared" si="19"/>
        <v>0</v>
      </c>
      <c r="BW9" s="16">
        <f t="shared" si="19"/>
        <v>0</v>
      </c>
      <c r="BX9" s="16">
        <f t="shared" ref="BX9" si="20">BX3+BX7+BX8</f>
        <v>0</v>
      </c>
    </row>
    <row r="10" spans="2:80" s="1" customFormat="1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6"/>
      <c r="AI10" s="16"/>
      <c r="AJ10" s="16"/>
      <c r="AK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</row>
    <row r="11" spans="2:80">
      <c r="B11" t="s">
        <v>74</v>
      </c>
      <c r="C11" s="11"/>
      <c r="D11" s="11"/>
      <c r="E11" s="11"/>
      <c r="F11" s="11"/>
      <c r="G11" s="11">
        <v>798.61699999999996</v>
      </c>
      <c r="H11" s="15">
        <v>838.22500000000002</v>
      </c>
      <c r="I11" s="15">
        <v>877.15</v>
      </c>
      <c r="J11" s="15">
        <v>917.44200000000001</v>
      </c>
      <c r="K11" s="15">
        <v>984.53200000000004</v>
      </c>
      <c r="L11" s="15">
        <v>1025.913</v>
      </c>
      <c r="M11" s="15">
        <v>1063.961</v>
      </c>
      <c r="N11" s="15">
        <v>1105.933</v>
      </c>
      <c r="O11" s="15">
        <f>O3*O15</f>
        <v>1142.75</v>
      </c>
      <c r="P11" s="15">
        <f>P3*P15</f>
        <v>1150</v>
      </c>
      <c r="Q11" s="15">
        <f>Q3*Q15</f>
        <v>1162</v>
      </c>
      <c r="R11" s="15">
        <f>R3*R15</f>
        <v>1245.6599999999999</v>
      </c>
      <c r="S11" s="15">
        <v>1470</v>
      </c>
      <c r="T11" s="15">
        <v>1505</v>
      </c>
      <c r="U11" s="15">
        <v>1547</v>
      </c>
      <c r="V11" s="15">
        <v>1630</v>
      </c>
      <c r="W11" s="15">
        <v>1820</v>
      </c>
      <c r="X11" s="15">
        <v>1893</v>
      </c>
      <c r="Y11" s="15">
        <v>1937</v>
      </c>
      <c r="Z11" s="15">
        <v>2161</v>
      </c>
      <c r="AA11" s="15">
        <v>2257</v>
      </c>
      <c r="AB11" s="15">
        <v>2501</v>
      </c>
      <c r="AC11" s="15">
        <v>2621</v>
      </c>
      <c r="AD11" s="15">
        <v>2672</v>
      </c>
      <c r="AE11" s="15">
        <v>2703</v>
      </c>
      <c r="AF11" s="15">
        <v>2840</v>
      </c>
      <c r="AG11" s="15">
        <v>2930</v>
      </c>
      <c r="AH11" s="15">
        <v>2980</v>
      </c>
      <c r="AI11" s="15">
        <v>3171</v>
      </c>
      <c r="AJ11" s="15">
        <f t="shared" ref="AJ11:AL11" si="21">AJ3*AJ15</f>
        <v>3228.741</v>
      </c>
      <c r="AK11" s="15">
        <f t="shared" si="21"/>
        <v>3268.1376000000005</v>
      </c>
      <c r="AL11" s="15">
        <f t="shared" si="21"/>
        <v>3370.1852000000003</v>
      </c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G11" s="2">
        <f>SUM(G11:J11)</f>
        <v>3431.4340000000002</v>
      </c>
      <c r="BH11" s="2">
        <f>SUM(K11:N11)</f>
        <v>4180.3389999999999</v>
      </c>
      <c r="BI11" s="2">
        <f t="shared" ref="BI11:BI12" si="22">SUM(O11:R11)</f>
        <v>4700.41</v>
      </c>
      <c r="BJ11" s="15">
        <f t="shared" ref="BJ11:BJ12" si="23">SUM(S11:V11)</f>
        <v>6152</v>
      </c>
      <c r="BK11" s="15">
        <f t="shared" ref="BK11:BK12" si="24">SUM(W11:Z11)</f>
        <v>7811</v>
      </c>
      <c r="BL11" s="15">
        <f t="shared" ref="BL11:BL12" si="25">SUM(AA11:AD11)</f>
        <v>10051</v>
      </c>
      <c r="BM11" s="15">
        <f>SUM(AE11:AH11)</f>
        <v>11453</v>
      </c>
      <c r="BN11" s="15">
        <f>SUM(AI11:AL11)</f>
        <v>13038.0638</v>
      </c>
      <c r="BO11" s="15">
        <f t="shared" ref="BO11:BW11" si="26">BO3*BO15</f>
        <v>0</v>
      </c>
      <c r="BP11" s="15">
        <f t="shared" si="26"/>
        <v>0</v>
      </c>
      <c r="BQ11" s="15">
        <f t="shared" si="26"/>
        <v>0</v>
      </c>
      <c r="BR11" s="15">
        <f t="shared" si="26"/>
        <v>0</v>
      </c>
      <c r="BS11" s="15">
        <f t="shared" si="26"/>
        <v>0</v>
      </c>
      <c r="BT11" s="15">
        <f t="shared" si="26"/>
        <v>0</v>
      </c>
      <c r="BU11" s="15">
        <f t="shared" si="26"/>
        <v>0</v>
      </c>
      <c r="BV11" s="15">
        <f t="shared" si="26"/>
        <v>0</v>
      </c>
      <c r="BW11" s="15">
        <f t="shared" si="26"/>
        <v>0</v>
      </c>
      <c r="BX11" s="15">
        <f t="shared" ref="BX11" si="27">BX3*BX15</f>
        <v>0</v>
      </c>
    </row>
    <row r="12" spans="2:80">
      <c r="B12" t="s">
        <v>75</v>
      </c>
      <c r="C12" s="11"/>
      <c r="D12" s="11"/>
      <c r="E12" s="11"/>
      <c r="F12" s="11"/>
      <c r="G12" s="11">
        <v>267.11799999999999</v>
      </c>
      <c r="H12" s="15">
        <v>307.46100000000001</v>
      </c>
      <c r="I12" s="15">
        <v>345.685</v>
      </c>
      <c r="J12" s="15">
        <v>387.79700000000003</v>
      </c>
      <c r="K12" s="15">
        <v>415.39699999999999</v>
      </c>
      <c r="L12" s="15">
        <v>454.76299999999998</v>
      </c>
      <c r="M12" s="15">
        <v>516.87</v>
      </c>
      <c r="N12" s="15">
        <v>566.40499999999997</v>
      </c>
      <c r="O12" s="15">
        <f>O7*O16</f>
        <v>607.80999999999995</v>
      </c>
      <c r="P12" s="15">
        <f t="shared" ref="P12:R12" si="28">P7*P16</f>
        <v>643.91</v>
      </c>
      <c r="Q12" s="15">
        <f t="shared" si="28"/>
        <v>699.19999999999993</v>
      </c>
      <c r="R12" s="15">
        <f t="shared" si="28"/>
        <v>782.6099999999999</v>
      </c>
      <c r="S12" s="15">
        <v>1046</v>
      </c>
      <c r="T12" s="15">
        <v>1165</v>
      </c>
      <c r="U12" s="15">
        <v>1327</v>
      </c>
      <c r="V12" s="15">
        <v>1550</v>
      </c>
      <c r="W12" s="15">
        <v>1782</v>
      </c>
      <c r="X12" s="15">
        <v>1921</v>
      </c>
      <c r="Y12" s="15">
        <v>1973</v>
      </c>
      <c r="Z12" s="15">
        <f>1097+567+277</f>
        <v>1941</v>
      </c>
      <c r="AA12" s="15">
        <f>1233+630+320</f>
        <v>2183</v>
      </c>
      <c r="AB12" s="15">
        <f>1319+677+349</f>
        <v>2345</v>
      </c>
      <c r="AC12" s="15">
        <f>1428+741+382</f>
        <v>2551</v>
      </c>
      <c r="AD12" s="15">
        <f>1563+746+418</f>
        <v>2727</v>
      </c>
      <c r="AE12" s="15">
        <f>1723+793+484</f>
        <v>3000</v>
      </c>
      <c r="AF12" s="2">
        <f>1893+785+569</f>
        <v>3247</v>
      </c>
      <c r="AG12" s="15">
        <f>2019+789+635</f>
        <v>3443</v>
      </c>
      <c r="AH12" s="15">
        <f>2137+789+685</f>
        <v>3611</v>
      </c>
      <c r="AI12" s="15">
        <f>2344+837+762</f>
        <v>3943</v>
      </c>
      <c r="AJ12" s="15">
        <f t="shared" ref="AJ12:AL12" si="29">AJ7*AJ16</f>
        <v>4148.3940000000002</v>
      </c>
      <c r="AK12" s="15">
        <f t="shared" si="29"/>
        <v>4221.8760000000002</v>
      </c>
      <c r="AL12" s="15">
        <f t="shared" si="29"/>
        <v>4434.420000000001</v>
      </c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G12" s="2">
        <f>SUM(G12:J12)</f>
        <v>1308.0609999999999</v>
      </c>
      <c r="BH12" s="2">
        <f>SUM(K12:N12)</f>
        <v>1953.4349999999999</v>
      </c>
      <c r="BI12" s="2">
        <f t="shared" si="22"/>
        <v>2733.5299999999997</v>
      </c>
      <c r="BJ12" s="15">
        <f t="shared" si="23"/>
        <v>5088</v>
      </c>
      <c r="BK12" s="15">
        <f t="shared" si="24"/>
        <v>7617</v>
      </c>
      <c r="BL12" s="15">
        <f t="shared" si="25"/>
        <v>9806</v>
      </c>
      <c r="BM12" s="15">
        <f>SUM(AE12:AH12)</f>
        <v>13301</v>
      </c>
      <c r="BN12" s="15">
        <f>SUM(AI12:AL12)</f>
        <v>16747.690000000002</v>
      </c>
      <c r="BO12" s="15">
        <f t="shared" ref="BO12:BW12" si="30">BO7*BO16</f>
        <v>0</v>
      </c>
      <c r="BP12" s="15">
        <f t="shared" si="30"/>
        <v>0</v>
      </c>
      <c r="BQ12" s="15">
        <f t="shared" si="30"/>
        <v>0</v>
      </c>
      <c r="BR12" s="15">
        <f t="shared" si="30"/>
        <v>0</v>
      </c>
      <c r="BS12" s="15">
        <f t="shared" si="30"/>
        <v>0</v>
      </c>
      <c r="BT12" s="15">
        <f t="shared" si="30"/>
        <v>0</v>
      </c>
      <c r="BU12" s="15">
        <f t="shared" si="30"/>
        <v>0</v>
      </c>
      <c r="BV12" s="15">
        <f t="shared" si="30"/>
        <v>0</v>
      </c>
      <c r="BW12" s="15">
        <f t="shared" si="30"/>
        <v>0</v>
      </c>
      <c r="BX12" s="15">
        <f t="shared" ref="BX12" si="31">BX7*BX16</f>
        <v>0</v>
      </c>
    </row>
    <row r="13" spans="2:80">
      <c r="B13" t="s">
        <v>76</v>
      </c>
      <c r="C13" s="11"/>
      <c r="D13" s="11"/>
      <c r="E13" s="11"/>
      <c r="F13" s="11"/>
      <c r="G13" s="11">
        <v>204.35400000000001</v>
      </c>
      <c r="H13" s="15">
        <v>194.721</v>
      </c>
      <c r="I13" s="15">
        <v>186.59700000000001</v>
      </c>
      <c r="J13" s="15">
        <v>179.489</v>
      </c>
      <c r="K13" s="15">
        <v>173.2</v>
      </c>
      <c r="L13" s="15">
        <v>164.018</v>
      </c>
      <c r="M13" s="15">
        <v>157.524</v>
      </c>
      <c r="N13" s="15">
        <v>150.995</v>
      </c>
      <c r="O13" s="15">
        <v>145</v>
      </c>
      <c r="P13" s="15">
        <v>138</v>
      </c>
      <c r="Q13" s="15">
        <v>132.4</v>
      </c>
      <c r="R13" s="15">
        <v>126.4</v>
      </c>
      <c r="S13" s="15">
        <f>O13*0.84</f>
        <v>121.8</v>
      </c>
      <c r="T13" s="15">
        <f t="shared" ref="T13" si="32">P13*0.84</f>
        <v>115.92</v>
      </c>
      <c r="U13" s="15">
        <f>Q13*0.83</f>
        <v>109.892</v>
      </c>
      <c r="V13" s="15">
        <f>R13*0.83</f>
        <v>104.91200000000001</v>
      </c>
      <c r="W13" s="15">
        <f>S13*0.82</f>
        <v>99.875999999999991</v>
      </c>
      <c r="X13" s="15">
        <f>T13*0.81</f>
        <v>93.895200000000003</v>
      </c>
      <c r="Y13" s="15">
        <f>U13*0.81</f>
        <v>89.012520000000009</v>
      </c>
      <c r="Z13" s="15">
        <f>V13*0.8</f>
        <v>83.929600000000008</v>
      </c>
      <c r="AA13" s="15">
        <v>81</v>
      </c>
      <c r="AB13" s="15">
        <v>77</v>
      </c>
      <c r="AC13" s="2">
        <v>71</v>
      </c>
      <c r="AD13" s="15">
        <v>68</v>
      </c>
      <c r="AE13" s="15">
        <v>65</v>
      </c>
      <c r="AF13" s="15">
        <v>61</v>
      </c>
      <c r="AG13" s="15">
        <v>59</v>
      </c>
      <c r="AH13" s="15">
        <v>53</v>
      </c>
      <c r="AI13" s="15">
        <v>50</v>
      </c>
      <c r="AJ13" s="15">
        <f t="shared" ref="AJ13:AL13" si="33">AF13*0.83</f>
        <v>50.629999999999995</v>
      </c>
      <c r="AK13" s="15">
        <f t="shared" si="33"/>
        <v>48.97</v>
      </c>
      <c r="AL13" s="15">
        <f t="shared" si="33"/>
        <v>43.989999999999995</v>
      </c>
      <c r="AM13" s="15">
        <v>40</v>
      </c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G13" s="2">
        <f>SUM(G13:J13)</f>
        <v>765.16100000000006</v>
      </c>
      <c r="BH13" s="2">
        <f>SUM(K13:N13)</f>
        <v>645.73699999999997</v>
      </c>
      <c r="BI13" s="2">
        <f>SUM(O13:R13)</f>
        <v>541.79999999999995</v>
      </c>
      <c r="BJ13" s="15">
        <f>SUM(S13:V13)</f>
        <v>452.524</v>
      </c>
      <c r="BK13" s="15">
        <f>SUM(W13:Z13)</f>
        <v>366.71332000000001</v>
      </c>
      <c r="BL13" s="15">
        <f>SUM(AA13:AD13)</f>
        <v>297</v>
      </c>
      <c r="BM13" s="15">
        <f>SUM(AE13:AH13)</f>
        <v>238</v>
      </c>
      <c r="BN13" s="15">
        <f>SUM(AI13:AL13)</f>
        <v>193.58999999999997</v>
      </c>
      <c r="BO13" s="15">
        <f t="shared" ref="BO13:BX13" si="34">BN13*0.82</f>
        <v>158.74379999999996</v>
      </c>
      <c r="BP13" s="15">
        <f t="shared" si="34"/>
        <v>130.16991599999997</v>
      </c>
      <c r="BQ13" s="15">
        <f t="shared" si="34"/>
        <v>106.73933111999997</v>
      </c>
      <c r="BR13" s="15">
        <f t="shared" si="34"/>
        <v>87.526251518399974</v>
      </c>
      <c r="BS13" s="15">
        <f t="shared" si="34"/>
        <v>71.771526245087969</v>
      </c>
      <c r="BT13" s="15">
        <f t="shared" si="34"/>
        <v>58.852651520972131</v>
      </c>
      <c r="BU13" s="15">
        <f t="shared" si="34"/>
        <v>48.259174247197144</v>
      </c>
      <c r="BV13" s="15">
        <f t="shared" si="34"/>
        <v>39.572522882701655</v>
      </c>
      <c r="BW13" s="15">
        <f t="shared" si="34"/>
        <v>32.449468763815354</v>
      </c>
      <c r="BX13" s="15">
        <f t="shared" si="34"/>
        <v>26.608564386328588</v>
      </c>
    </row>
    <row r="14" spans="2:80"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</row>
    <row r="15" spans="2:80">
      <c r="B15" t="s">
        <v>82</v>
      </c>
      <c r="C15" s="11"/>
      <c r="D15" s="11"/>
      <c r="E15" s="11"/>
      <c r="F15" s="11"/>
      <c r="G15" s="11">
        <f t="shared" ref="G15:N15" si="35">G11/G3</f>
        <v>22.386528003588047</v>
      </c>
      <c r="H15" s="11">
        <f t="shared" si="35"/>
        <v>23.127276238825736</v>
      </c>
      <c r="I15" s="11">
        <f t="shared" si="35"/>
        <v>23.567264031811707</v>
      </c>
      <c r="J15" s="11">
        <f t="shared" si="35"/>
        <v>23.455591348366315</v>
      </c>
      <c r="K15" s="11">
        <f t="shared" si="35"/>
        <v>23.782689566876829</v>
      </c>
      <c r="L15" s="11">
        <f t="shared" si="35"/>
        <v>24.253262411347521</v>
      </c>
      <c r="M15" s="11">
        <f t="shared" si="35"/>
        <v>24.639563696996365</v>
      </c>
      <c r="N15" s="11">
        <f t="shared" si="35"/>
        <v>25.482327188940094</v>
      </c>
      <c r="O15" s="11">
        <v>25</v>
      </c>
      <c r="P15" s="11">
        <v>25</v>
      </c>
      <c r="Q15" s="11">
        <v>25</v>
      </c>
      <c r="R15" s="11">
        <v>26</v>
      </c>
      <c r="S15" s="11">
        <f t="shared" ref="S15:V15" si="36">S11/S3</f>
        <v>26.923076923076923</v>
      </c>
      <c r="T15" s="11">
        <f t="shared" si="36"/>
        <v>27.068345323741006</v>
      </c>
      <c r="U15" s="11">
        <f t="shared" si="36"/>
        <v>27.235915492957748</v>
      </c>
      <c r="V15" s="11">
        <f t="shared" si="36"/>
        <v>27.910958904109588</v>
      </c>
      <c r="W15" s="11">
        <f>W11/W3</f>
        <v>33.036848792884371</v>
      </c>
      <c r="X15" s="11">
        <f>X11/X3</f>
        <v>33.827734095782702</v>
      </c>
      <c r="Y15" s="11">
        <f>Y11/Y3</f>
        <v>34.006320224719097</v>
      </c>
      <c r="Z15" s="11">
        <f>Z11/Z3</f>
        <v>33.369363804817787</v>
      </c>
      <c r="AA15" s="11">
        <f>AA11/AA3</f>
        <v>33.873630496773231</v>
      </c>
      <c r="AB15" s="11">
        <f t="shared" ref="AB15" si="37">AB11/AB3</f>
        <v>37.609022556390975</v>
      </c>
      <c r="AC15" s="11">
        <f>AC11/AC3</f>
        <v>39.055282372224703</v>
      </c>
      <c r="AD15" s="11">
        <f>AD11/AD3</f>
        <v>39.49157552468224</v>
      </c>
      <c r="AE15" s="11">
        <f>AE11/AE3</f>
        <v>38.630841789338291</v>
      </c>
      <c r="AF15" s="11">
        <f t="shared" ref="AF15:AI15" si="38">AF11/AF3</f>
        <v>38.957475994513025</v>
      </c>
      <c r="AG15" s="11">
        <f t="shared" si="38"/>
        <v>40.093048713738369</v>
      </c>
      <c r="AH15" s="11">
        <f t="shared" si="38"/>
        <v>40.302948336489045</v>
      </c>
      <c r="AI15" s="11">
        <f t="shared" si="38"/>
        <v>42.62096774193548</v>
      </c>
      <c r="AJ15" s="11">
        <v>43</v>
      </c>
      <c r="AK15" s="11">
        <v>43</v>
      </c>
      <c r="AL15" s="11">
        <v>43</v>
      </c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G15" s="15">
        <f>BG11/BG3</f>
        <v>87.729048422559714</v>
      </c>
      <c r="BH15" s="15">
        <f>BH11/BH3</f>
        <v>96.321175115207382</v>
      </c>
      <c r="BI15" s="15">
        <f>BI11/BI3</f>
        <v>98.109163013984556</v>
      </c>
      <c r="BJ15" s="15">
        <f t="shared" ref="BJ15:BM15" si="39">BJ11/BJ3</f>
        <v>105.34246575342466</v>
      </c>
      <c r="BK15" s="15">
        <f t="shared" si="39"/>
        <v>120.61457689932055</v>
      </c>
      <c r="BL15" s="15">
        <f t="shared" si="39"/>
        <v>148.55158143659474</v>
      </c>
      <c r="BM15" s="15">
        <f t="shared" si="39"/>
        <v>154.89586150933189</v>
      </c>
      <c r="BN15" s="15">
        <f>BN11/BN3</f>
        <v>166.3519095033709</v>
      </c>
      <c r="BO15" s="15">
        <f>BN15*1.04</f>
        <v>173.00598588350576</v>
      </c>
      <c r="BP15" s="15">
        <f t="shared" ref="BP15" si="40">BO15*1.03</f>
        <v>178.19616546001095</v>
      </c>
      <c r="BQ15" s="15">
        <f t="shared" ref="BQ15:BR15" si="41">BP15*1.02</f>
        <v>181.76008876921117</v>
      </c>
      <c r="BR15" s="15">
        <f t="shared" si="41"/>
        <v>185.39529054459538</v>
      </c>
      <c r="BS15" s="15">
        <f>BR15*1.01</f>
        <v>187.24924345004135</v>
      </c>
      <c r="BT15" s="15">
        <f t="shared" ref="BT15:BW15" si="42">BS15*1.01</f>
        <v>189.12173588454175</v>
      </c>
      <c r="BU15" s="15">
        <f t="shared" si="42"/>
        <v>191.01295324338716</v>
      </c>
      <c r="BV15" s="15">
        <f t="shared" si="42"/>
        <v>192.92308277582103</v>
      </c>
      <c r="BW15" s="15">
        <f t="shared" si="42"/>
        <v>194.85231360357923</v>
      </c>
      <c r="BX15" s="15">
        <f t="shared" ref="BX15" si="43">BW15*1.01</f>
        <v>196.80083673961502</v>
      </c>
    </row>
    <row r="16" spans="2:80">
      <c r="B16" t="s">
        <v>83</v>
      </c>
      <c r="C16" s="11"/>
      <c r="D16" s="11"/>
      <c r="E16" s="11"/>
      <c r="F16" s="11"/>
      <c r="G16" s="11">
        <f t="shared" ref="G16:N17" si="44">G12/G7</f>
        <v>21.061105416699519</v>
      </c>
      <c r="H16" s="11">
        <f t="shared" si="44"/>
        <v>22.278168248677634</v>
      </c>
      <c r="I16" s="11">
        <f t="shared" si="44"/>
        <v>21.81941551473837</v>
      </c>
      <c r="J16" s="11">
        <f t="shared" si="44"/>
        <v>21.217760026262518</v>
      </c>
      <c r="K16" s="11">
        <f t="shared" si="44"/>
        <v>19.89735115198544</v>
      </c>
      <c r="L16" s="11">
        <f t="shared" si="44"/>
        <v>19.558857683540491</v>
      </c>
      <c r="M16" s="11">
        <f t="shared" si="44"/>
        <v>19.889560164697734</v>
      </c>
      <c r="N16" s="11">
        <f t="shared" si="44"/>
        <v>20.641581632653061</v>
      </c>
      <c r="O16" s="11">
        <v>19</v>
      </c>
      <c r="P16" s="11">
        <v>19</v>
      </c>
      <c r="Q16" s="11">
        <v>19</v>
      </c>
      <c r="R16" s="11">
        <v>19</v>
      </c>
      <c r="S16" s="11">
        <f t="shared" ref="S16:V16" si="45">S12/S7</f>
        <v>26.281407035175878</v>
      </c>
      <c r="T16" s="11">
        <f t="shared" si="45"/>
        <v>26.7816091954023</v>
      </c>
      <c r="U16" s="11">
        <f t="shared" si="45"/>
        <v>28.114406779661014</v>
      </c>
      <c r="V16" s="11">
        <f t="shared" si="45"/>
        <v>29.693486590038312</v>
      </c>
      <c r="W16" s="11">
        <f t="shared" ref="W16:AE16" si="46">W12/W7</f>
        <v>30.724137931034484</v>
      </c>
      <c r="X16" s="11">
        <f t="shared" si="46"/>
        <v>30.736000000000001</v>
      </c>
      <c r="Y16" s="11">
        <f t="shared" si="46"/>
        <v>29.272997032640948</v>
      </c>
      <c r="Z16" s="11">
        <f t="shared" si="46"/>
        <v>26.050194604751042</v>
      </c>
      <c r="AA16" s="11">
        <f t="shared" si="46"/>
        <v>26.547488751064087</v>
      </c>
      <c r="AB16" s="11">
        <f t="shared" ref="AB16" si="47">AB12/AB7</f>
        <v>27.568774982365387</v>
      </c>
      <c r="AC16" s="11">
        <f t="shared" si="46"/>
        <v>27.962293105338158</v>
      </c>
      <c r="AD16" s="11">
        <f t="shared" si="46"/>
        <v>27.426330081464346</v>
      </c>
      <c r="AE16" s="11">
        <f t="shared" si="46"/>
        <v>26.574541589157587</v>
      </c>
      <c r="AF16" s="11">
        <f t="shared" ref="AF16:AI16" si="48">AF12/AF7</f>
        <v>27.049316894368545</v>
      </c>
      <c r="AG16" s="11">
        <f t="shared" si="48"/>
        <v>28.207438964443714</v>
      </c>
      <c r="AH16" s="11">
        <f t="shared" si="48"/>
        <v>27.832588253429936</v>
      </c>
      <c r="AI16" s="11">
        <f t="shared" si="48"/>
        <v>29.579894973743432</v>
      </c>
      <c r="AJ16" s="11">
        <v>30</v>
      </c>
      <c r="AK16" s="11">
        <v>30</v>
      </c>
      <c r="AL16" s="11">
        <v>30</v>
      </c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G16" s="15">
        <f t="shared" ref="BG16:BM16" si="49">BG12/BG7</f>
        <v>86.334961388687205</v>
      </c>
      <c r="BH16" s="15">
        <f t="shared" si="49"/>
        <v>80.095740864127933</v>
      </c>
      <c r="BI16" s="15">
        <f t="shared" si="49"/>
        <v>75.999999999999986</v>
      </c>
      <c r="BJ16" s="15">
        <f t="shared" si="49"/>
        <v>97.47126436781609</v>
      </c>
      <c r="BK16" s="15">
        <f t="shared" si="49"/>
        <v>102.22788887397665</v>
      </c>
      <c r="BL16" s="15">
        <f t="shared" si="49"/>
        <v>98.622146233531126</v>
      </c>
      <c r="BM16" s="15">
        <f t="shared" si="49"/>
        <v>102.52042546631725</v>
      </c>
      <c r="BN16" s="15">
        <f>BN12/BN7</f>
        <v>113.3024612012394</v>
      </c>
      <c r="BO16" s="15">
        <f>BN16*1.04</f>
        <v>117.83455964928898</v>
      </c>
      <c r="BP16" s="15">
        <f t="shared" ref="BP16:BQ16" si="50">BO16*1.04</f>
        <v>122.54794203526053</v>
      </c>
      <c r="BQ16" s="15">
        <f t="shared" si="50"/>
        <v>127.44985971667096</v>
      </c>
      <c r="BR16" s="15">
        <f t="shared" ref="BR16:BT16" si="51">BQ16*1.03</f>
        <v>131.27335550817108</v>
      </c>
      <c r="BS16" s="15">
        <f t="shared" si="51"/>
        <v>135.21155617341623</v>
      </c>
      <c r="BT16" s="15">
        <f t="shared" si="51"/>
        <v>139.26790285861873</v>
      </c>
      <c r="BU16" s="15">
        <f t="shared" ref="BU16:BX16" si="52">BT16*1.02</f>
        <v>142.0532609157911</v>
      </c>
      <c r="BV16" s="15">
        <f t="shared" si="52"/>
        <v>144.89432613410693</v>
      </c>
      <c r="BW16" s="15">
        <f t="shared" si="52"/>
        <v>147.79221265678908</v>
      </c>
      <c r="BX16" s="15">
        <f t="shared" si="52"/>
        <v>150.74805690992486</v>
      </c>
    </row>
    <row r="17" spans="2:80">
      <c r="B17" t="s">
        <v>81</v>
      </c>
      <c r="C17" s="11"/>
      <c r="D17" s="11"/>
      <c r="E17" s="11"/>
      <c r="F17" s="11"/>
      <c r="G17" s="11">
        <f t="shared" si="44"/>
        <v>30.72068550811786</v>
      </c>
      <c r="H17" s="11">
        <f t="shared" si="44"/>
        <v>31.100622903689505</v>
      </c>
      <c r="I17" s="11">
        <f t="shared" si="44"/>
        <v>31.172235215502841</v>
      </c>
      <c r="J17" s="11">
        <f t="shared" si="44"/>
        <v>31.123461071614358</v>
      </c>
      <c r="K17" s="11">
        <f t="shared" si="44"/>
        <v>31.128684399712434</v>
      </c>
      <c r="L17" s="11">
        <f t="shared" si="44"/>
        <v>30.865261573202861</v>
      </c>
      <c r="M17" s="11">
        <f t="shared" si="44"/>
        <v>31.13122529644269</v>
      </c>
      <c r="N17" s="11">
        <f t="shared" si="44"/>
        <v>30.790171288743885</v>
      </c>
      <c r="O17" s="11" t="s">
        <v>110</v>
      </c>
      <c r="P17" s="11" t="s">
        <v>110</v>
      </c>
      <c r="Q17" s="11" t="s">
        <v>110</v>
      </c>
      <c r="R17" s="11" t="s">
        <v>110</v>
      </c>
      <c r="S17" s="11" t="s">
        <v>110</v>
      </c>
      <c r="T17" s="11" t="s">
        <v>110</v>
      </c>
      <c r="U17" s="11" t="s">
        <v>110</v>
      </c>
      <c r="V17" s="11" t="s">
        <v>110</v>
      </c>
      <c r="W17" s="11" t="s">
        <v>110</v>
      </c>
      <c r="X17" s="11" t="s">
        <v>110</v>
      </c>
      <c r="Y17" s="11" t="s">
        <v>110</v>
      </c>
      <c r="Z17" s="11" t="s">
        <v>110</v>
      </c>
      <c r="AA17" s="11" t="s">
        <v>110</v>
      </c>
      <c r="AB17" s="11" t="s">
        <v>110</v>
      </c>
      <c r="AC17" s="11" t="s">
        <v>110</v>
      </c>
      <c r="AD17" s="11" t="s">
        <v>110</v>
      </c>
      <c r="AE17" s="11" t="s">
        <v>110</v>
      </c>
      <c r="AF17" s="11" t="s">
        <v>110</v>
      </c>
      <c r="AG17" s="11" t="s">
        <v>110</v>
      </c>
      <c r="AH17" s="11" t="s">
        <v>110</v>
      </c>
      <c r="AI17" s="11" t="s">
        <v>110</v>
      </c>
      <c r="AJ17" s="11" t="s">
        <v>110</v>
      </c>
      <c r="AK17" s="11" t="s">
        <v>110</v>
      </c>
      <c r="AL17" s="11" t="s">
        <v>110</v>
      </c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G17" s="11">
        <f t="shared" ref="BG17:BH17" si="53">BG13/BG8</f>
        <v>124.08351577069651</v>
      </c>
      <c r="BH17" s="11">
        <f t="shared" si="53"/>
        <v>123.92994914115728</v>
      </c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</row>
    <row r="18" spans="2:80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2:80">
      <c r="B19" t="s">
        <v>78</v>
      </c>
      <c r="C19" s="11"/>
      <c r="D19" s="11"/>
      <c r="E19" s="11"/>
      <c r="F19" s="11"/>
      <c r="G19" s="11"/>
      <c r="H19" s="14"/>
      <c r="I19" s="14"/>
      <c r="J19" s="14"/>
      <c r="K19" s="14">
        <f t="shared" ref="K19:R19" si="54">K3/G3-1</f>
        <v>0.16042495935415135</v>
      </c>
      <c r="L19" s="14">
        <f t="shared" si="54"/>
        <v>0.16708972519589449</v>
      </c>
      <c r="M19" s="14">
        <f t="shared" si="54"/>
        <v>0.16018700126279573</v>
      </c>
      <c r="N19" s="14">
        <f t="shared" si="54"/>
        <v>0.10957713350718423</v>
      </c>
      <c r="O19" s="14">
        <f t="shared" si="54"/>
        <v>0.10418629369277976</v>
      </c>
      <c r="P19" s="14">
        <f t="shared" si="54"/>
        <v>8.7470449172576847E-2</v>
      </c>
      <c r="Q19" s="14">
        <f t="shared" si="54"/>
        <v>7.6399342303327789E-2</v>
      </c>
      <c r="R19" s="14">
        <f t="shared" si="54"/>
        <v>0.10391705069124413</v>
      </c>
      <c r="S19" s="14">
        <f t="shared" ref="S19" si="55">S3/O3-1</f>
        <v>0.19448698315467072</v>
      </c>
      <c r="T19" s="14">
        <f t="shared" ref="T19" si="56">T3/P3-1</f>
        <v>0.20869565217391317</v>
      </c>
      <c r="U19" s="14">
        <f t="shared" ref="U19" si="57">U3/Q3-1</f>
        <v>0.22203098106712571</v>
      </c>
      <c r="V19" s="14">
        <f t="shared" ref="V19" si="58">V3/R3-1</f>
        <v>0.21895220204550214</v>
      </c>
      <c r="W19" s="14">
        <f t="shared" ref="W19:AH22" si="59">W3/S3-1</f>
        <v>8.9743589743589425E-3</v>
      </c>
      <c r="X19" s="14">
        <f t="shared" si="59"/>
        <v>6.4748201438848962E-3</v>
      </c>
      <c r="Y19" s="14">
        <f t="shared" si="59"/>
        <v>2.8169014084507005E-3</v>
      </c>
      <c r="Z19" s="14">
        <f t="shared" si="59"/>
        <v>0.10890410958904129</v>
      </c>
      <c r="AA19" s="14">
        <f t="shared" si="59"/>
        <v>0.20947540388455232</v>
      </c>
      <c r="AB19" s="14">
        <f t="shared" ref="AB19:AB22" si="60">AB3/X3-1</f>
        <v>0.188348820586133</v>
      </c>
      <c r="AC19" s="14">
        <f t="shared" ref="AC19:AC22" si="61">AC3/Y3-1</f>
        <v>0.17819522471910099</v>
      </c>
      <c r="AD19" s="14">
        <f t="shared" si="59"/>
        <v>4.4780728844965978E-2</v>
      </c>
      <c r="AE19" s="14">
        <f t="shared" si="59"/>
        <v>5.012757016358993E-2</v>
      </c>
      <c r="AF19" s="14">
        <f t="shared" si="59"/>
        <v>9.6240601503759571E-2</v>
      </c>
      <c r="AG19" s="14">
        <f t="shared" si="59"/>
        <v>8.8958426464014195E-2</v>
      </c>
      <c r="AH19" s="14">
        <f t="shared" si="59"/>
        <v>9.2817026308010586E-2</v>
      </c>
      <c r="AI19" s="14">
        <f t="shared" ref="AI19:AI23" si="62">AI3/AE3-1</f>
        <v>6.3312848363584528E-2</v>
      </c>
      <c r="AJ19" s="14">
        <f t="shared" ref="AJ19:AJ23" si="63">AJ3/AF3-1</f>
        <v>3.0000000000000027E-2</v>
      </c>
      <c r="AK19" s="14">
        <f t="shared" ref="AK19:AK23" si="64">AK3/AG3-1</f>
        <v>4.0000000000000036E-2</v>
      </c>
      <c r="AL19" s="14">
        <f t="shared" ref="AL19:AL23" si="65">AL3/AH3-1</f>
        <v>6.0000000000000053E-2</v>
      </c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H19" s="9">
        <f t="shared" ref="BH19:BP19" si="66">BH3/BG3-1</f>
        <v>0.10957713350718423</v>
      </c>
      <c r="BI19" s="9">
        <f t="shared" si="66"/>
        <v>0.10391705069124413</v>
      </c>
      <c r="BJ19" s="9">
        <f t="shared" si="66"/>
        <v>0.21895220204550214</v>
      </c>
      <c r="BK19" s="9">
        <f t="shared" si="66"/>
        <v>0.10890410958904129</v>
      </c>
      <c r="BL19" s="9">
        <f t="shared" si="66"/>
        <v>4.4780728844965978E-2</v>
      </c>
      <c r="BM19" s="9">
        <f t="shared" si="66"/>
        <v>9.2817026308010586E-2</v>
      </c>
      <c r="BN19" s="9">
        <f t="shared" si="66"/>
        <v>6.0000000000000053E-2</v>
      </c>
      <c r="BO19" s="9">
        <f t="shared" si="66"/>
        <v>-1</v>
      </c>
      <c r="BP19" s="9" t="e">
        <f t="shared" si="66"/>
        <v>#DIV/0!</v>
      </c>
      <c r="BQ19" s="9"/>
      <c r="BR19" s="9"/>
      <c r="BS19" s="9"/>
      <c r="BT19" s="9"/>
      <c r="BU19" s="9"/>
      <c r="BV19" s="9"/>
      <c r="BW19" s="9"/>
      <c r="BX19" s="9"/>
    </row>
    <row r="20" spans="2:80">
      <c r="B20" t="s">
        <v>111</v>
      </c>
      <c r="C20" s="11"/>
      <c r="D20" s="11"/>
      <c r="E20" s="11"/>
      <c r="F20" s="11"/>
      <c r="G20" s="11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>
        <f t="shared" si="59"/>
        <v>0.48730964467005089</v>
      </c>
      <c r="X20" s="14">
        <f t="shared" si="59"/>
        <v>0.47641509433962281</v>
      </c>
      <c r="Y20" s="14">
        <f t="shared" si="59"/>
        <v>0.46320346320346295</v>
      </c>
      <c r="Z20" s="14">
        <f t="shared" si="59"/>
        <v>0.45461538461538464</v>
      </c>
      <c r="AA20" s="14">
        <f t="shared" si="59"/>
        <v>0.45187713310580202</v>
      </c>
      <c r="AB20" s="14">
        <f t="shared" si="60"/>
        <v>0.41309904153354626</v>
      </c>
      <c r="AC20" s="14">
        <f t="shared" si="61"/>
        <v>0.40118343195266282</v>
      </c>
      <c r="AD20" s="14">
        <f t="shared" si="59"/>
        <v>0.36911686938127986</v>
      </c>
      <c r="AE20" s="14">
        <f t="shared" si="59"/>
        <v>0.38058298072402441</v>
      </c>
      <c r="AF20" s="14">
        <f t="shared" si="59"/>
        <v>0.39000678272665623</v>
      </c>
      <c r="AG20" s="14">
        <f t="shared" si="59"/>
        <v>0.31418918918918926</v>
      </c>
      <c r="AH20" s="14">
        <f t="shared" si="59"/>
        <v>0.28814213982232517</v>
      </c>
      <c r="AI20" s="14">
        <f t="shared" si="62"/>
        <v>0.16635450366082072</v>
      </c>
      <c r="AJ20" s="14">
        <f t="shared" si="63"/>
        <v>0.1399999999999999</v>
      </c>
      <c r="AK20" s="14">
        <f t="shared" si="64"/>
        <v>0.1399999999999999</v>
      </c>
      <c r="AL20" s="14">
        <f t="shared" si="65"/>
        <v>0.10000000000000009</v>
      </c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H20" s="9"/>
      <c r="BI20" s="9"/>
      <c r="BJ20" s="9"/>
      <c r="BK20" s="9">
        <f>BK4/BJ4-1</f>
        <v>0.45461538461538464</v>
      </c>
      <c r="BL20" s="9">
        <f t="shared" ref="BL20:BP20" si="67">BL4/BK4-1</f>
        <v>0.36911686938127986</v>
      </c>
      <c r="BM20" s="9">
        <f t="shared" si="67"/>
        <v>0.28814213982232517</v>
      </c>
      <c r="BN20" s="9">
        <f t="shared" si="67"/>
        <v>0.10000000000000009</v>
      </c>
      <c r="BO20" s="9">
        <f t="shared" si="67"/>
        <v>-1</v>
      </c>
      <c r="BP20" s="9" t="e">
        <f t="shared" si="67"/>
        <v>#DIV/0!</v>
      </c>
      <c r="BQ20" s="9"/>
      <c r="BR20" s="9"/>
      <c r="BS20" s="9"/>
      <c r="BT20" s="9"/>
      <c r="BU20" s="9"/>
      <c r="BV20" s="9"/>
      <c r="BW20" s="9"/>
      <c r="BX20" s="9"/>
    </row>
    <row r="21" spans="2:80">
      <c r="B21" t="s">
        <v>112</v>
      </c>
      <c r="C21" s="11"/>
      <c r="D21" s="11"/>
      <c r="E21" s="11"/>
      <c r="F21" s="11"/>
      <c r="G21" s="11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>
        <f t="shared" si="59"/>
        <v>0.38311688311688319</v>
      </c>
      <c r="X21" s="14">
        <f t="shared" si="59"/>
        <v>0.34117647058823541</v>
      </c>
      <c r="Y21" s="14">
        <f t="shared" si="59"/>
        <v>0.31693989071038264</v>
      </c>
      <c r="Z21" s="14">
        <f t="shared" si="59"/>
        <v>0.32385786802030458</v>
      </c>
      <c r="AA21" s="14">
        <f t="shared" si="59"/>
        <v>0.29342723004694826</v>
      </c>
      <c r="AB21" s="14">
        <f t="shared" si="60"/>
        <v>0.2232456140350878</v>
      </c>
      <c r="AC21" s="14">
        <f t="shared" si="61"/>
        <v>0.21908713692946047</v>
      </c>
      <c r="AD21" s="14">
        <f t="shared" si="59"/>
        <v>0.20475460122699407</v>
      </c>
      <c r="AE21" s="14">
        <f t="shared" si="59"/>
        <v>0.24573502722323037</v>
      </c>
      <c r="AF21" s="14">
        <f t="shared" si="59"/>
        <v>0.29329508784510572</v>
      </c>
      <c r="AG21" s="14">
        <f>AG5/AC5-1</f>
        <v>0.23621511232130699</v>
      </c>
      <c r="AH21" s="14">
        <f>AH5/AD5-1</f>
        <v>0.19478039465308705</v>
      </c>
      <c r="AI21" s="14">
        <f t="shared" si="62"/>
        <v>0.10431235431235431</v>
      </c>
      <c r="AJ21" s="14">
        <f t="shared" si="63"/>
        <v>8.0000000000000071E-2</v>
      </c>
      <c r="AK21" s="14">
        <f t="shared" si="64"/>
        <v>8.0000000000000071E-2</v>
      </c>
      <c r="AL21" s="14">
        <f t="shared" si="65"/>
        <v>0.10000000000000009</v>
      </c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H21" s="9"/>
      <c r="BI21" s="9"/>
      <c r="BJ21" s="9"/>
      <c r="BK21" s="9">
        <f t="shared" ref="BK21:BM21" si="68">BK5/BJ5-1</f>
        <v>0.32385786802030458</v>
      </c>
      <c r="BL21" s="9">
        <f t="shared" si="68"/>
        <v>0.20475460122699407</v>
      </c>
      <c r="BM21" s="9">
        <f t="shared" si="68"/>
        <v>0.19478039465308705</v>
      </c>
      <c r="BN21" s="9">
        <f t="shared" ref="BN21:BP21" si="69">BN5/BM5-1</f>
        <v>0.10000000000000009</v>
      </c>
      <c r="BO21" s="9">
        <f t="shared" si="69"/>
        <v>-1</v>
      </c>
      <c r="BP21" s="9" t="e">
        <f t="shared" si="69"/>
        <v>#DIV/0!</v>
      </c>
      <c r="BQ21" s="9"/>
      <c r="BR21" s="9"/>
      <c r="BS21" s="9"/>
      <c r="BT21" s="9"/>
      <c r="BU21" s="9"/>
      <c r="BV21" s="9"/>
      <c r="BW21" s="9"/>
      <c r="BX21" s="9"/>
    </row>
    <row r="22" spans="2:80">
      <c r="B22" t="s">
        <v>113</v>
      </c>
      <c r="C22" s="11"/>
      <c r="D22" s="11"/>
      <c r="E22" s="11"/>
      <c r="F22" s="11"/>
      <c r="G22" s="11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>
        <f t="shared" si="59"/>
        <v>0.57446808510638303</v>
      </c>
      <c r="X22" s="14">
        <f t="shared" si="59"/>
        <v>0.58490566037735858</v>
      </c>
      <c r="Y22" s="14">
        <f t="shared" si="59"/>
        <v>0.63793103448275867</v>
      </c>
      <c r="Z22" s="14">
        <f t="shared" si="59"/>
        <v>0.63230769230769224</v>
      </c>
      <c r="AA22" s="14">
        <f t="shared" si="59"/>
        <v>0.64054054054054044</v>
      </c>
      <c r="AB22" s="14">
        <f t="shared" si="60"/>
        <v>0.54047619047619033</v>
      </c>
      <c r="AC22" s="14">
        <f t="shared" si="61"/>
        <v>0.52526315789473688</v>
      </c>
      <c r="AD22" s="14">
        <f t="shared" si="59"/>
        <v>0.52968897266729509</v>
      </c>
      <c r="AE22" s="14">
        <f t="shared" si="59"/>
        <v>0.63426688632619421</v>
      </c>
      <c r="AF22" s="14">
        <f t="shared" si="59"/>
        <v>0.73802163833075718</v>
      </c>
      <c r="AG22" s="14">
        <f>AG6/AC6-1</f>
        <v>0.62180814354727398</v>
      </c>
      <c r="AH22" s="14">
        <f>AH6/AD6-1</f>
        <v>0.5711645101663585</v>
      </c>
      <c r="AI22" s="14">
        <f t="shared" si="62"/>
        <v>0.35584677419354827</v>
      </c>
      <c r="AJ22" s="14">
        <f t="shared" si="63"/>
        <v>0.30000000000000004</v>
      </c>
      <c r="AK22" s="14">
        <f t="shared" si="64"/>
        <v>0.30000000000000004</v>
      </c>
      <c r="AL22" s="14">
        <f t="shared" si="65"/>
        <v>0.30000000000000004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H22" s="9"/>
      <c r="BI22" s="9"/>
      <c r="BJ22" s="9"/>
      <c r="BK22" s="9">
        <f t="shared" ref="BK22:BM22" si="70">BK6/BJ6-1</f>
        <v>0.63230769230769224</v>
      </c>
      <c r="BL22" s="9">
        <f t="shared" si="70"/>
        <v>0.52968897266729509</v>
      </c>
      <c r="BM22" s="9">
        <f t="shared" si="70"/>
        <v>0.5711645101663585</v>
      </c>
      <c r="BN22" s="9">
        <f t="shared" ref="BN22:BP22" si="71">BN6/BM6-1</f>
        <v>0.30000000000000004</v>
      </c>
      <c r="BO22" s="9">
        <f t="shared" si="71"/>
        <v>-1</v>
      </c>
      <c r="BP22" s="9" t="e">
        <f t="shared" si="71"/>
        <v>#DIV/0!</v>
      </c>
      <c r="BQ22" s="9"/>
      <c r="BR22" s="9"/>
      <c r="BS22" s="9"/>
      <c r="BT22" s="9"/>
      <c r="BU22" s="9"/>
      <c r="BV22" s="9"/>
      <c r="BW22" s="9"/>
      <c r="BX22" s="9"/>
    </row>
    <row r="23" spans="2:80">
      <c r="B23" t="s">
        <v>79</v>
      </c>
      <c r="C23" s="11"/>
      <c r="D23" s="11"/>
      <c r="E23" s="11"/>
      <c r="F23" s="11"/>
      <c r="G23" s="11"/>
      <c r="H23" s="14"/>
      <c r="I23" s="14"/>
      <c r="J23" s="14"/>
      <c r="K23" s="14">
        <f t="shared" ref="K23:R23" si="72">K7/G7-1</f>
        <v>0.64606165733659227</v>
      </c>
      <c r="L23" s="14">
        <f t="shared" si="72"/>
        <v>0.68473299036301727</v>
      </c>
      <c r="M23" s="14">
        <f t="shared" si="72"/>
        <v>0.64028277472700856</v>
      </c>
      <c r="N23" s="14">
        <f t="shared" si="72"/>
        <v>0.50134048257372643</v>
      </c>
      <c r="O23" s="14">
        <f t="shared" si="72"/>
        <v>0.53230828184126078</v>
      </c>
      <c r="P23" s="14">
        <f t="shared" si="72"/>
        <v>0.45757171734549051</v>
      </c>
      <c r="Q23" s="14">
        <f t="shared" si="72"/>
        <v>0.41609266171547321</v>
      </c>
      <c r="R23" s="14">
        <f t="shared" si="72"/>
        <v>0.50109329446064121</v>
      </c>
      <c r="S23" s="14">
        <f t="shared" ref="S23" si="73">S7/O7-1</f>
        <v>0.24413879337292932</v>
      </c>
      <c r="T23" s="14">
        <f t="shared" ref="T23" si="74">T7/P7-1</f>
        <v>0.28356447329595746</v>
      </c>
      <c r="U23" s="14">
        <f t="shared" ref="U23" si="75">U7/Q7-1</f>
        <v>0.28260869565217406</v>
      </c>
      <c r="V23" s="14">
        <f t="shared" ref="V23" si="76">V7/R7-1</f>
        <v>0.26729788783685371</v>
      </c>
      <c r="W23" s="14">
        <f t="shared" ref="W23" si="77">W7/S7-1</f>
        <v>0.45728643216080389</v>
      </c>
      <c r="X23" s="14">
        <f t="shared" ref="X23" si="78">X7/T7-1</f>
        <v>0.43678160919540221</v>
      </c>
      <c r="Y23" s="14">
        <f t="shared" ref="Y23" si="79">Y7/U7-1</f>
        <v>0.42796610169491522</v>
      </c>
      <c r="Z23" s="14">
        <f t="shared" ref="Z23" si="80">Z7/V7-1</f>
        <v>0.42739463601532535</v>
      </c>
      <c r="AA23" s="14">
        <f t="shared" ref="AA23" si="81">AA7/W7-1</f>
        <v>0.4177586206896553</v>
      </c>
      <c r="AB23" s="14">
        <f t="shared" ref="AB23" si="82">AB7/X7-1</f>
        <v>0.36095999999999995</v>
      </c>
      <c r="AC23" s="14">
        <f t="shared" ref="AC23" si="83">AC7/Y7-1</f>
        <v>0.3535608308605338</v>
      </c>
      <c r="AD23" s="14">
        <f t="shared" ref="AD23" si="84">AD7/Z7-1</f>
        <v>0.33445175144275963</v>
      </c>
      <c r="AE23" s="14">
        <f t="shared" ref="AE23:AF23" si="85">AE7/AA7-1</f>
        <v>0.37285662167092304</v>
      </c>
      <c r="AF23" s="14">
        <f t="shared" si="85"/>
        <v>0.41123912532330098</v>
      </c>
      <c r="AG23" s="14">
        <f t="shared" ref="AG23" si="86">AG7/AC7-1</f>
        <v>0.33793708210018658</v>
      </c>
      <c r="AH23" s="14">
        <f t="shared" ref="AH23" si="87">AH7/AD7-1</f>
        <v>0.3048375741727849</v>
      </c>
      <c r="AI23" s="14">
        <f t="shared" si="62"/>
        <v>0.18079546461156881</v>
      </c>
      <c r="AJ23" s="14">
        <f t="shared" si="63"/>
        <v>0.15194768410529824</v>
      </c>
      <c r="AK23" s="14">
        <f t="shared" si="64"/>
        <v>0.15295100770113046</v>
      </c>
      <c r="AL23" s="14">
        <f t="shared" si="65"/>
        <v>0.13930938800678283</v>
      </c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H23" s="9">
        <f>BH7/BG7-1</f>
        <v>0.60971223021582732</v>
      </c>
      <c r="BI23" s="9">
        <f t="shared" ref="BI23:BP23" si="88">BI7/BH7-1</f>
        <v>0.47475782891702134</v>
      </c>
      <c r="BJ23" s="9">
        <f t="shared" si="88"/>
        <v>0.45131021060679788</v>
      </c>
      <c r="BK23" s="9">
        <f t="shared" si="88"/>
        <v>0.42739463601532535</v>
      </c>
      <c r="BL23" s="9">
        <f t="shared" si="88"/>
        <v>0.33445175144275963</v>
      </c>
      <c r="BM23" s="9">
        <f t="shared" si="88"/>
        <v>0.3048375741727849</v>
      </c>
      <c r="BN23" s="9">
        <f t="shared" si="88"/>
        <v>0.13930938800678283</v>
      </c>
      <c r="BO23" s="9">
        <f t="shared" si="88"/>
        <v>-1</v>
      </c>
      <c r="BP23" s="9" t="e">
        <f t="shared" si="88"/>
        <v>#DIV/0!</v>
      </c>
      <c r="BQ23" s="9"/>
      <c r="BR23" s="9"/>
      <c r="BS23" s="9"/>
      <c r="BT23" s="9"/>
      <c r="BU23" s="9"/>
      <c r="BV23" s="9"/>
      <c r="BW23" s="9"/>
      <c r="BX23" s="9"/>
    </row>
    <row r="24" spans="2:80">
      <c r="B24" t="s">
        <v>80</v>
      </c>
      <c r="C24" s="11"/>
      <c r="D24" s="11"/>
      <c r="E24" s="11"/>
      <c r="F24" s="11"/>
      <c r="G24" s="11"/>
      <c r="H24" s="14"/>
      <c r="I24" s="14"/>
      <c r="J24" s="14"/>
      <c r="K24" s="14">
        <f t="shared" ref="K24" si="89">K13/G13-1</f>
        <v>-0.15245113871027738</v>
      </c>
      <c r="L24" s="14">
        <f t="shared" ref="L24" si="90">L13/H13-1</f>
        <v>-0.15767688128142321</v>
      </c>
      <c r="M24" s="14">
        <f t="shared" ref="M24" si="91">M13/I13-1</f>
        <v>-0.15580636344635768</v>
      </c>
      <c r="N24" s="14">
        <f t="shared" ref="N24" si="92">N13/J13-1</f>
        <v>-0.15875067552886246</v>
      </c>
      <c r="O24" s="14">
        <f t="shared" ref="O24" si="93">O13/K13-1</f>
        <v>-0.16281755196304848</v>
      </c>
      <c r="P24" s="14">
        <f t="shared" ref="P24" si="94">P13/L13-1</f>
        <v>-0.15862893097099096</v>
      </c>
      <c r="Q24" s="14">
        <f t="shared" ref="Q24" si="95">Q13/M13-1</f>
        <v>-0.15949315659835961</v>
      </c>
      <c r="R24" s="14">
        <f t="shared" ref="R24" si="96">R13/N13-1</f>
        <v>-0.16288618828438028</v>
      </c>
      <c r="S24" s="14">
        <f t="shared" ref="S24" si="97">S13/O13-1</f>
        <v>-0.16000000000000003</v>
      </c>
      <c r="T24" s="14">
        <f t="shared" ref="T24" si="98">T13/P13-1</f>
        <v>-0.16000000000000003</v>
      </c>
      <c r="U24" s="14">
        <f t="shared" ref="U24" si="99">U13/Q13-1</f>
        <v>-0.17000000000000004</v>
      </c>
      <c r="V24" s="14">
        <f t="shared" ref="V24" si="100">V13/R13-1</f>
        <v>-0.17000000000000004</v>
      </c>
      <c r="W24" s="14">
        <f t="shared" ref="W24" si="101">W13/S13-1</f>
        <v>-0.18000000000000005</v>
      </c>
      <c r="X24" s="14">
        <f t="shared" ref="X24" si="102">X13/T13-1</f>
        <v>-0.18999999999999995</v>
      </c>
      <c r="Y24" s="14">
        <f t="shared" ref="Y24" si="103">Y13/U13-1</f>
        <v>-0.18999999999999984</v>
      </c>
      <c r="Z24" s="14">
        <f t="shared" ref="Z24" si="104">Z13/V13-1</f>
        <v>-0.19999999999999996</v>
      </c>
      <c r="AA24" s="14">
        <f t="shared" ref="AA24" si="105">AA13/W13-1</f>
        <v>-0.18899435299771705</v>
      </c>
      <c r="AB24" s="14">
        <f t="shared" ref="AB24" si="106">AB13/X13-1</f>
        <v>-0.17993678058090301</v>
      </c>
      <c r="AC24" s="14">
        <f t="shared" ref="AC24" si="107">AC13/Y13-1</f>
        <v>-0.20235939843069273</v>
      </c>
      <c r="AD24" s="14">
        <f t="shared" ref="AD24" si="108">AD13/Z13-1</f>
        <v>-0.18979716333689189</v>
      </c>
      <c r="AE24" s="14">
        <f t="shared" ref="AE24" si="109">AE13/AA13-1</f>
        <v>-0.19753086419753085</v>
      </c>
      <c r="AF24" s="14">
        <f>AF13/AB13-1</f>
        <v>-0.20779220779220775</v>
      </c>
      <c r="AG24" s="14">
        <f>AG13/AC13-1</f>
        <v>-0.16901408450704225</v>
      </c>
      <c r="AH24" s="14">
        <f>AH13/AD13-1</f>
        <v>-0.22058823529411764</v>
      </c>
      <c r="AI24" s="14">
        <f t="shared" ref="AI24:AL24" si="110">AI13/AE13-1</f>
        <v>-0.23076923076923073</v>
      </c>
      <c r="AJ24" s="14">
        <f t="shared" si="110"/>
        <v>-0.17000000000000004</v>
      </c>
      <c r="AK24" s="14">
        <f t="shared" si="110"/>
        <v>-0.17000000000000004</v>
      </c>
      <c r="AL24" s="14">
        <f t="shared" si="110"/>
        <v>-0.17000000000000015</v>
      </c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H24" s="14">
        <f>BH13/BG13-1</f>
        <v>-0.1560769563529768</v>
      </c>
      <c r="BI24" s="14">
        <f t="shared" ref="BI24:BX24" si="111">BI13/BH13-1</f>
        <v>-0.16095871848755761</v>
      </c>
      <c r="BJ24" s="14">
        <f t="shared" si="111"/>
        <v>-0.16477667035806565</v>
      </c>
      <c r="BK24" s="14">
        <f t="shared" si="111"/>
        <v>-0.18962680432419055</v>
      </c>
      <c r="BL24" s="14">
        <f t="shared" si="111"/>
        <v>-0.19010304834304903</v>
      </c>
      <c r="BM24" s="14">
        <f t="shared" si="111"/>
        <v>-0.19865319865319864</v>
      </c>
      <c r="BN24" s="14">
        <f t="shared" si="111"/>
        <v>-0.18659663865546228</v>
      </c>
      <c r="BO24" s="14">
        <f t="shared" si="111"/>
        <v>-0.18000000000000005</v>
      </c>
      <c r="BP24" s="14">
        <f t="shared" si="111"/>
        <v>-0.17999999999999994</v>
      </c>
      <c r="BQ24" s="14">
        <f t="shared" si="111"/>
        <v>-0.18000000000000005</v>
      </c>
      <c r="BR24" s="14">
        <f t="shared" si="111"/>
        <v>-0.18000000000000005</v>
      </c>
      <c r="BS24" s="14">
        <f t="shared" si="111"/>
        <v>-0.18000000000000016</v>
      </c>
      <c r="BT24" s="14">
        <f t="shared" si="111"/>
        <v>-0.18000000000000005</v>
      </c>
      <c r="BU24" s="14">
        <f t="shared" si="111"/>
        <v>-0.18000000000000005</v>
      </c>
      <c r="BV24" s="14">
        <f t="shared" si="111"/>
        <v>-0.18000000000000005</v>
      </c>
      <c r="BW24" s="14">
        <f t="shared" si="111"/>
        <v>-0.18000000000000005</v>
      </c>
      <c r="BX24" s="14">
        <f t="shared" si="111"/>
        <v>-0.18000000000000005</v>
      </c>
    </row>
    <row r="25" spans="2:80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2:80" s="1" customFormat="1">
      <c r="B26" s="1" t="s">
        <v>11</v>
      </c>
      <c r="C26" s="7">
        <v>1023.961</v>
      </c>
      <c r="D26" s="7">
        <v>1069.3720000000001</v>
      </c>
      <c r="E26" s="7">
        <v>1105.999</v>
      </c>
      <c r="F26" s="16">
        <v>1175.23</v>
      </c>
      <c r="G26" s="16">
        <f t="shared" ref="G26:N26" si="112">G11+G12+G13</f>
        <v>1270.0889999999999</v>
      </c>
      <c r="H26" s="16">
        <f t="shared" si="112"/>
        <v>1340.4070000000002</v>
      </c>
      <c r="I26" s="16">
        <f t="shared" si="112"/>
        <v>1409.432</v>
      </c>
      <c r="J26" s="16">
        <f t="shared" si="112"/>
        <v>1484.7280000000001</v>
      </c>
      <c r="K26" s="16">
        <f t="shared" si="112"/>
        <v>1573.1290000000001</v>
      </c>
      <c r="L26" s="16">
        <f t="shared" si="112"/>
        <v>1644.694</v>
      </c>
      <c r="M26" s="16">
        <f t="shared" si="112"/>
        <v>1738.355</v>
      </c>
      <c r="N26" s="16">
        <f t="shared" si="112"/>
        <v>1823.3330000000001</v>
      </c>
      <c r="O26" s="16">
        <f t="shared" ref="O26:Z26" si="113">O11+O12+O13</f>
        <v>1895.56</v>
      </c>
      <c r="P26" s="16">
        <f>P11+P12+P13</f>
        <v>1931.9099999999999</v>
      </c>
      <c r="Q26" s="16">
        <f>Q11+Q12+Q13</f>
        <v>1993.6</v>
      </c>
      <c r="R26" s="16">
        <f t="shared" si="113"/>
        <v>2154.6699999999996</v>
      </c>
      <c r="S26" s="16">
        <f t="shared" si="113"/>
        <v>2637.8</v>
      </c>
      <c r="T26" s="16">
        <f t="shared" si="113"/>
        <v>2785.92</v>
      </c>
      <c r="U26" s="16">
        <f t="shared" si="113"/>
        <v>2983.8919999999998</v>
      </c>
      <c r="V26" s="16">
        <f t="shared" si="113"/>
        <v>3284.9119999999998</v>
      </c>
      <c r="W26" s="16">
        <f t="shared" si="113"/>
        <v>3701.8760000000002</v>
      </c>
      <c r="X26" s="16">
        <f t="shared" si="113"/>
        <v>3907.8951999999999</v>
      </c>
      <c r="Y26" s="16">
        <f t="shared" si="113"/>
        <v>3999.0125200000002</v>
      </c>
      <c r="Z26" s="16">
        <f t="shared" si="113"/>
        <v>4185.9296000000004</v>
      </c>
      <c r="AA26" s="16">
        <f t="shared" ref="AA26:AE26" si="114">AA11+AA12+AA13</f>
        <v>4521</v>
      </c>
      <c r="AB26" s="16">
        <f t="shared" si="114"/>
        <v>4923</v>
      </c>
      <c r="AC26" s="16">
        <f>AC11+AC12+AA13</f>
        <v>5253</v>
      </c>
      <c r="AD26" s="16">
        <f t="shared" si="114"/>
        <v>5467</v>
      </c>
      <c r="AE26" s="16">
        <f t="shared" si="114"/>
        <v>5768</v>
      </c>
      <c r="AF26" s="16">
        <f t="shared" ref="AF26" si="115">AF11+AF12+AF13</f>
        <v>6148</v>
      </c>
      <c r="AG26" s="16">
        <f>SUM(AG11:AG13)</f>
        <v>6432</v>
      </c>
      <c r="AH26" s="16">
        <f>SUM(AH11:AH13)</f>
        <v>6644</v>
      </c>
      <c r="AI26" s="16">
        <f t="shared" ref="AI26" si="116">SUM(AI11:AI13)</f>
        <v>7164</v>
      </c>
      <c r="AJ26" s="16">
        <v>7341.8</v>
      </c>
      <c r="AK26" s="16">
        <v>7483.5</v>
      </c>
      <c r="AL26" s="16">
        <v>7709.3</v>
      </c>
      <c r="AM26" s="16">
        <v>7867.8</v>
      </c>
      <c r="AN26" s="16">
        <v>7970.1</v>
      </c>
      <c r="AO26" s="16">
        <v>7925.6</v>
      </c>
      <c r="AP26" s="16">
        <v>7852.1</v>
      </c>
      <c r="AQ26" s="16">
        <v>8161.5</v>
      </c>
      <c r="AR26" s="16">
        <v>8187.3</v>
      </c>
      <c r="AS26" s="16">
        <v>8541.7000000000007</v>
      </c>
      <c r="AT26" s="16">
        <v>8832.7999999999993</v>
      </c>
      <c r="AU26" s="16">
        <v>9370.4</v>
      </c>
      <c r="AV26" s="16">
        <v>9559.2999999999993</v>
      </c>
      <c r="AW26" s="16">
        <v>9824.7000000000007</v>
      </c>
      <c r="AX26" s="16">
        <v>10246.5</v>
      </c>
      <c r="AY26" s="16">
        <v>10542.8</v>
      </c>
      <c r="AZ26" s="16">
        <f>AV26*1.16</f>
        <v>11088.787999999999</v>
      </c>
      <c r="BA26" s="16">
        <f>AW26*1.13</f>
        <v>11101.911</v>
      </c>
      <c r="BB26" s="16">
        <f>AX26*1.06</f>
        <v>10861.29</v>
      </c>
      <c r="BD26" s="16">
        <v>3204.5770000000002</v>
      </c>
      <c r="BE26" s="16">
        <v>3609.2820000000002</v>
      </c>
      <c r="BF26" s="16">
        <f>SUM(C26:F26)</f>
        <v>4374.5619999999999</v>
      </c>
      <c r="BG26" s="16">
        <f>SUM(G26:J26)</f>
        <v>5504.6559999999999</v>
      </c>
      <c r="BH26" s="16">
        <f>SUM(K26:N26)</f>
        <v>6779.5110000000004</v>
      </c>
      <c r="BI26" s="16">
        <f>SUM(O26:R26)</f>
        <v>7975.74</v>
      </c>
      <c r="BJ26" s="16">
        <f t="shared" ref="BJ26:BM26" si="117">BJ11+BJ12+BJ13</f>
        <v>11692.523999999999</v>
      </c>
      <c r="BK26" s="16">
        <f t="shared" si="117"/>
        <v>15794.713320000001</v>
      </c>
      <c r="BL26" s="16">
        <f t="shared" si="117"/>
        <v>20154</v>
      </c>
      <c r="BM26" s="16">
        <f t="shared" si="117"/>
        <v>24992</v>
      </c>
      <c r="BN26" s="16">
        <f>SUM(AI26:AL26)</f>
        <v>29698.6</v>
      </c>
      <c r="BO26" s="16">
        <f>SUM(AM26:AP26)</f>
        <v>31615.599999999999</v>
      </c>
      <c r="BP26" s="16">
        <f>SUM(AQ26:AT26)</f>
        <v>33723.300000000003</v>
      </c>
      <c r="BQ26" s="16">
        <f>SUM(AU26:AX26)</f>
        <v>39000.899999999994</v>
      </c>
      <c r="BR26" s="16">
        <f>SUM(AY26:BB26)</f>
        <v>43594.788999999997</v>
      </c>
      <c r="BS26" s="16">
        <f>BR26*1.08</f>
        <v>47082.37212</v>
      </c>
      <c r="BT26" s="16">
        <f>BS26*1.05</f>
        <v>49436.490726000004</v>
      </c>
      <c r="BU26" s="16">
        <f>BT26*1.03</f>
        <v>50919.585447780002</v>
      </c>
      <c r="BV26" s="16">
        <f>BU26*1.02</f>
        <v>51937.9771567356</v>
      </c>
      <c r="BW26" s="16">
        <f>BV26*1.01</f>
        <v>52457.356928302957</v>
      </c>
      <c r="BX26" s="16">
        <f t="shared" ref="BX26:CB26" si="118">BW26*1.01</f>
        <v>52981.930497585985</v>
      </c>
      <c r="BY26" s="16">
        <f t="shared" si="118"/>
        <v>53511.749802561848</v>
      </c>
      <c r="BZ26" s="16">
        <f t="shared" si="118"/>
        <v>54046.867300587466</v>
      </c>
      <c r="CA26" s="16">
        <f t="shared" si="118"/>
        <v>54587.335973593341</v>
      </c>
      <c r="CB26" s="16">
        <f t="shared" si="118"/>
        <v>55133.209333329272</v>
      </c>
    </row>
    <row r="27" spans="2:80">
      <c r="B27" t="s">
        <v>27</v>
      </c>
      <c r="C27" s="6">
        <v>736.952</v>
      </c>
      <c r="D27" s="6">
        <v>760.67399999999998</v>
      </c>
      <c r="E27" s="6">
        <v>798.9</v>
      </c>
      <c r="F27" s="2">
        <v>820.67700000000002</v>
      </c>
      <c r="G27" s="2">
        <v>869.18600000000004</v>
      </c>
      <c r="H27" s="2">
        <v>914.84799999999996</v>
      </c>
      <c r="I27" s="2">
        <v>954.39400000000001</v>
      </c>
      <c r="J27" s="2">
        <v>1014.332</v>
      </c>
      <c r="K27" s="2">
        <v>1046.4010000000001</v>
      </c>
      <c r="L27" s="2">
        <v>1121.752</v>
      </c>
      <c r="M27" s="2">
        <v>1173.9580000000001</v>
      </c>
      <c r="N27" s="2">
        <v>1249.3699999999999</v>
      </c>
      <c r="O27" s="2">
        <f t="shared" ref="O27:R27" si="119">O26-O28</f>
        <v>1270.0252</v>
      </c>
      <c r="P27" s="2">
        <f t="shared" si="119"/>
        <v>1294.3797</v>
      </c>
      <c r="Q27" s="2">
        <f t="shared" si="119"/>
        <v>1335.712</v>
      </c>
      <c r="R27" s="2">
        <f t="shared" si="119"/>
        <v>1443.6288999999997</v>
      </c>
      <c r="S27" s="2">
        <v>1657</v>
      </c>
      <c r="T27" s="2">
        <v>1902.3</v>
      </c>
      <c r="U27" s="2">
        <v>1993</v>
      </c>
      <c r="V27" s="2">
        <f>8033-U27-T27-S27</f>
        <v>2480.6999999999998</v>
      </c>
      <c r="W27" s="2">
        <v>2196.1</v>
      </c>
      <c r="X27" s="2">
        <v>2289.9</v>
      </c>
      <c r="Y27" s="2">
        <v>2412.3000000000002</v>
      </c>
      <c r="Z27" s="2">
        <f>9967.5-Y27-X27-W27</f>
        <v>3069.1999999999994</v>
      </c>
      <c r="AA27" s="2">
        <v>2870.6</v>
      </c>
      <c r="AB27" s="2">
        <v>3005.7</v>
      </c>
      <c r="AC27" s="2">
        <v>3097.9</v>
      </c>
      <c r="AD27" s="2">
        <f>12440.2-AC27-AB27-AA27</f>
        <v>3466.0000000000014</v>
      </c>
      <c r="AE27" s="2">
        <v>3599.7</v>
      </c>
      <c r="AF27" s="2">
        <v>3643.7</v>
      </c>
      <c r="AG27" s="2">
        <v>3867.8</v>
      </c>
      <c r="AH27" s="2">
        <v>4165</v>
      </c>
      <c r="AI27" s="2">
        <v>3868.5</v>
      </c>
      <c r="AJ27" s="2">
        <v>4018</v>
      </c>
      <c r="AK27" s="2">
        <v>4206.6000000000004</v>
      </c>
      <c r="AL27" s="2">
        <v>5239.6000000000004</v>
      </c>
      <c r="AM27" s="2">
        <v>4284.7</v>
      </c>
      <c r="AN27" s="2">
        <v>4690.8</v>
      </c>
      <c r="AO27" s="2">
        <v>4788.7</v>
      </c>
      <c r="AP27" s="2">
        <v>5404.2</v>
      </c>
      <c r="AQ27" s="2">
        <v>4803.6000000000004</v>
      </c>
      <c r="AR27" s="2">
        <v>4673.5</v>
      </c>
      <c r="AS27" s="2">
        <v>4930.8</v>
      </c>
      <c r="AT27" s="2">
        <v>5307.5</v>
      </c>
      <c r="AU27" s="2">
        <v>4977.1000000000004</v>
      </c>
      <c r="AV27" s="2">
        <v>5174.1000000000004</v>
      </c>
      <c r="AW27" s="2">
        <v>5119.8999999999996</v>
      </c>
      <c r="AX27" s="2">
        <v>5767.4</v>
      </c>
      <c r="AY27" s="2">
        <v>5263.1</v>
      </c>
      <c r="AZ27" s="2">
        <f t="shared" ref="AZ27:BB27" si="120">AZ26-AZ28</f>
        <v>5766.1697599999998</v>
      </c>
      <c r="BA27" s="2">
        <f t="shared" si="120"/>
        <v>5772.9937200000004</v>
      </c>
      <c r="BB27" s="2">
        <f t="shared" si="120"/>
        <v>5865.0965999999999</v>
      </c>
      <c r="BD27" s="2">
        <v>2039.9010000000001</v>
      </c>
      <c r="BE27" s="2">
        <v>2625.866</v>
      </c>
      <c r="BF27" s="2">
        <f>SUM(C27:F27)</f>
        <v>3117.203</v>
      </c>
      <c r="BG27" s="2">
        <f>SUM(G27:J27)</f>
        <v>3752.7599999999998</v>
      </c>
      <c r="BH27" s="2">
        <f>SUM(K27:N27)</f>
        <v>4591.4809999999998</v>
      </c>
      <c r="BI27" s="2">
        <f>SUM(O27:R27)</f>
        <v>5343.7457999999997</v>
      </c>
      <c r="BJ27" s="15">
        <f t="shared" ref="BJ27" si="121">SUM(S27:V27)</f>
        <v>8033</v>
      </c>
      <c r="BK27" s="15">
        <f t="shared" ref="BK27" si="122">SUM(W27:Z27)</f>
        <v>9967.5</v>
      </c>
      <c r="BL27" s="15">
        <f t="shared" ref="BL27" si="123">SUM(AA27:AD27)</f>
        <v>12440.2</v>
      </c>
      <c r="BM27" s="15">
        <f>SUM(AE27:AH27)</f>
        <v>15276.2</v>
      </c>
      <c r="BN27" s="2">
        <f>SUM(AI27:AL27)</f>
        <v>17332.7</v>
      </c>
      <c r="BO27" s="2">
        <f>SUM(AM27:AP27)</f>
        <v>19168.400000000001</v>
      </c>
      <c r="BP27" s="2">
        <f>SUM(AQ27:AT27)</f>
        <v>19715.400000000001</v>
      </c>
      <c r="BQ27" s="2">
        <f>SUM(AU27:AX27)</f>
        <v>21038.5</v>
      </c>
      <c r="BR27" s="2">
        <f>SUM(AY27:BB27)</f>
        <v>22667.360080000002</v>
      </c>
      <c r="BS27" s="2">
        <f t="shared" ref="BS27:BW27" si="124">BS26-BS28</f>
        <v>23541.18606</v>
      </c>
      <c r="BT27" s="2">
        <f t="shared" si="124"/>
        <v>23729.515548480002</v>
      </c>
      <c r="BU27" s="2">
        <f t="shared" si="124"/>
        <v>23932.2051604566</v>
      </c>
      <c r="BV27" s="2">
        <f t="shared" si="124"/>
        <v>23891.469492098375</v>
      </c>
      <c r="BW27" s="2">
        <f t="shared" si="124"/>
        <v>24130.384187019357</v>
      </c>
      <c r="BX27" s="2">
        <f t="shared" ref="BX27:CB27" si="125">BX26-BX28</f>
        <v>24371.688028889552</v>
      </c>
      <c r="BY27" s="2">
        <f t="shared" si="125"/>
        <v>24615.404909178447</v>
      </c>
      <c r="BZ27" s="2">
        <f t="shared" si="125"/>
        <v>24861.558958270234</v>
      </c>
      <c r="CA27" s="2">
        <f t="shared" si="125"/>
        <v>25110.174547852934</v>
      </c>
      <c r="CB27" s="2">
        <f t="shared" si="125"/>
        <v>25361.276293331463</v>
      </c>
    </row>
    <row r="28" spans="2:80" s="1" customFormat="1">
      <c r="B28" s="1" t="s">
        <v>28</v>
      </c>
      <c r="C28" s="7">
        <f t="shared" ref="C28:N28" si="126">C26-C27</f>
        <v>287.00900000000001</v>
      </c>
      <c r="D28" s="7">
        <f t="shared" si="126"/>
        <v>308.69800000000009</v>
      </c>
      <c r="E28" s="7">
        <f t="shared" si="126"/>
        <v>307.09900000000005</v>
      </c>
      <c r="F28" s="16">
        <f t="shared" si="126"/>
        <v>354.553</v>
      </c>
      <c r="G28" s="16">
        <f t="shared" si="126"/>
        <v>400.90299999999991</v>
      </c>
      <c r="H28" s="16">
        <f t="shared" si="126"/>
        <v>425.5590000000002</v>
      </c>
      <c r="I28" s="16">
        <f t="shared" si="126"/>
        <v>455.03800000000001</v>
      </c>
      <c r="J28" s="16">
        <f t="shared" si="126"/>
        <v>470.39600000000007</v>
      </c>
      <c r="K28" s="16">
        <f t="shared" si="126"/>
        <v>526.72800000000007</v>
      </c>
      <c r="L28" s="16">
        <f t="shared" si="126"/>
        <v>522.94200000000001</v>
      </c>
      <c r="M28" s="16">
        <f t="shared" si="126"/>
        <v>564.39699999999993</v>
      </c>
      <c r="N28" s="16">
        <f t="shared" si="126"/>
        <v>573.96300000000019</v>
      </c>
      <c r="O28" s="16">
        <f>O26*0.33</f>
        <v>625.53480000000002</v>
      </c>
      <c r="P28" s="16">
        <f t="shared" ref="P28:R28" si="127">P26*0.33</f>
        <v>637.53030000000001</v>
      </c>
      <c r="Q28" s="16">
        <f t="shared" si="127"/>
        <v>657.88800000000003</v>
      </c>
      <c r="R28" s="16">
        <f t="shared" si="127"/>
        <v>711.04109999999991</v>
      </c>
      <c r="S28" s="16">
        <f t="shared" ref="S28:AJ28" si="128">S26-S27</f>
        <v>980.80000000000018</v>
      </c>
      <c r="T28" s="16">
        <f t="shared" si="128"/>
        <v>883.62000000000012</v>
      </c>
      <c r="U28" s="16">
        <f t="shared" si="128"/>
        <v>990.89199999999983</v>
      </c>
      <c r="V28" s="16">
        <f t="shared" si="128"/>
        <v>804.21199999999999</v>
      </c>
      <c r="W28" s="16">
        <f t="shared" si="128"/>
        <v>1505.7760000000003</v>
      </c>
      <c r="X28" s="16">
        <f t="shared" si="128"/>
        <v>1617.9951999999998</v>
      </c>
      <c r="Y28" s="16">
        <f t="shared" si="128"/>
        <v>1586.71252</v>
      </c>
      <c r="Z28" s="16">
        <f t="shared" si="128"/>
        <v>1116.729600000001</v>
      </c>
      <c r="AA28" s="16">
        <f t="shared" si="128"/>
        <v>1650.4</v>
      </c>
      <c r="AB28" s="16">
        <f t="shared" si="128"/>
        <v>1917.3000000000002</v>
      </c>
      <c r="AC28" s="16">
        <f t="shared" si="128"/>
        <v>2155.1</v>
      </c>
      <c r="AD28" s="16">
        <f t="shared" si="128"/>
        <v>2000.9999999999986</v>
      </c>
      <c r="AE28" s="16">
        <f t="shared" si="128"/>
        <v>2168.3000000000002</v>
      </c>
      <c r="AF28" s="16">
        <f t="shared" si="128"/>
        <v>2504.3000000000002</v>
      </c>
      <c r="AG28" s="16">
        <f t="shared" si="128"/>
        <v>2564.1999999999998</v>
      </c>
      <c r="AH28" s="16">
        <f t="shared" si="128"/>
        <v>2479</v>
      </c>
      <c r="AI28" s="16">
        <f t="shared" si="128"/>
        <v>3295.5</v>
      </c>
      <c r="AJ28" s="16">
        <f t="shared" si="128"/>
        <v>3323.8</v>
      </c>
      <c r="AK28" s="16">
        <f t="shared" ref="AK28" si="129">AK26-AK27</f>
        <v>3276.8999999999996</v>
      </c>
      <c r="AL28" s="16">
        <f t="shared" ref="AL28:AM28" si="130">AL26-AL27</f>
        <v>2469.6999999999998</v>
      </c>
      <c r="AM28" s="16">
        <f t="shared" si="130"/>
        <v>3583.1000000000004</v>
      </c>
      <c r="AN28" s="16">
        <f t="shared" ref="AN28:AO28" si="131">AN26-AN27</f>
        <v>3279.3</v>
      </c>
      <c r="AO28" s="16">
        <f t="shared" si="131"/>
        <v>3136.9000000000005</v>
      </c>
      <c r="AP28" s="16">
        <f t="shared" ref="AP28:AR28" si="132">AP26-AP27</f>
        <v>2447.9000000000005</v>
      </c>
      <c r="AQ28" s="16">
        <f t="shared" ref="AQ28" si="133">AQ26-AQ27</f>
        <v>3357.8999999999996</v>
      </c>
      <c r="AR28" s="16">
        <f t="shared" si="132"/>
        <v>3513.8</v>
      </c>
      <c r="AS28" s="16">
        <f t="shared" ref="AS28" si="134">AS26-AS27</f>
        <v>3610.9000000000005</v>
      </c>
      <c r="AT28" s="16">
        <f t="shared" ref="AT28:AY28" si="135">AT26-AT27</f>
        <v>3525.2999999999993</v>
      </c>
      <c r="AU28" s="16">
        <f t="shared" si="135"/>
        <v>4393.2999999999993</v>
      </c>
      <c r="AV28" s="16">
        <f t="shared" si="135"/>
        <v>4385.1999999999989</v>
      </c>
      <c r="AW28" s="16">
        <f t="shared" si="135"/>
        <v>4704.8000000000011</v>
      </c>
      <c r="AX28" s="16">
        <f t="shared" si="135"/>
        <v>4479.1000000000004</v>
      </c>
      <c r="AY28" s="16">
        <f t="shared" si="135"/>
        <v>5279.6999999999989</v>
      </c>
      <c r="AZ28" s="16">
        <f t="shared" ref="AZ28:BA28" si="136">AZ26*0.48</f>
        <v>5322.6182399999989</v>
      </c>
      <c r="BA28" s="16">
        <f t="shared" si="136"/>
        <v>5328.9172799999997</v>
      </c>
      <c r="BB28" s="16">
        <f>BB26*0.46</f>
        <v>4996.193400000001</v>
      </c>
      <c r="BD28" s="16">
        <f>BD26-BD27</f>
        <v>1164.6760000000002</v>
      </c>
      <c r="BE28" s="16">
        <f>BE26-BE27</f>
        <v>983.41600000000017</v>
      </c>
      <c r="BF28" s="16">
        <f>BF26-BF27</f>
        <v>1257.3589999999999</v>
      </c>
      <c r="BG28" s="16">
        <f>BG26-BG27</f>
        <v>1751.8960000000002</v>
      </c>
      <c r="BH28" s="16">
        <f>BH26-BH27</f>
        <v>2188.0300000000007</v>
      </c>
      <c r="BI28" s="16">
        <f t="shared" ref="BI28:BR28" si="137">BI26-BI27</f>
        <v>2631.9942000000001</v>
      </c>
      <c r="BJ28" s="16">
        <f t="shared" si="137"/>
        <v>3659.5239999999994</v>
      </c>
      <c r="BK28" s="16">
        <f t="shared" si="137"/>
        <v>5827.2133200000007</v>
      </c>
      <c r="BL28" s="16">
        <f t="shared" si="137"/>
        <v>7713.7999999999993</v>
      </c>
      <c r="BM28" s="16">
        <f t="shared" si="137"/>
        <v>9715.7999999999993</v>
      </c>
      <c r="BN28" s="16">
        <f t="shared" si="137"/>
        <v>12365.899999999998</v>
      </c>
      <c r="BO28" s="16">
        <f t="shared" si="137"/>
        <v>12447.199999999997</v>
      </c>
      <c r="BP28" s="16">
        <f t="shared" si="137"/>
        <v>14007.900000000001</v>
      </c>
      <c r="BQ28" s="16">
        <f t="shared" si="137"/>
        <v>17962.399999999994</v>
      </c>
      <c r="BR28" s="16">
        <f t="shared" si="137"/>
        <v>20927.428919999995</v>
      </c>
      <c r="BS28" s="16">
        <f>BS26*0.5</f>
        <v>23541.18606</v>
      </c>
      <c r="BT28" s="16">
        <f>BT26*0.52</f>
        <v>25706.975177520002</v>
      </c>
      <c r="BU28" s="16">
        <f>BU26*0.53</f>
        <v>26987.380287323402</v>
      </c>
      <c r="BV28" s="16">
        <f>BV26*0.54</f>
        <v>28046.507664637225</v>
      </c>
      <c r="BW28" s="16">
        <f t="shared" ref="BW28:CB28" si="138">BW26*0.54</f>
        <v>28326.9727412836</v>
      </c>
      <c r="BX28" s="16">
        <f t="shared" si="138"/>
        <v>28610.242468696433</v>
      </c>
      <c r="BY28" s="16">
        <f t="shared" si="138"/>
        <v>28896.344893383401</v>
      </c>
      <c r="BZ28" s="16">
        <f t="shared" si="138"/>
        <v>29185.308342317232</v>
      </c>
      <c r="CA28" s="16">
        <f t="shared" si="138"/>
        <v>29477.161425740407</v>
      </c>
      <c r="CB28" s="16">
        <f t="shared" si="138"/>
        <v>29771.93303999781</v>
      </c>
    </row>
    <row r="29" spans="2:80">
      <c r="B29" t="s">
        <v>30</v>
      </c>
      <c r="C29" s="6">
        <v>119.086</v>
      </c>
      <c r="D29" s="6">
        <v>114.611</v>
      </c>
      <c r="E29" s="6">
        <v>108.22799999999999</v>
      </c>
      <c r="F29" s="2">
        <v>128.017</v>
      </c>
      <c r="G29" s="2">
        <v>137.09800000000001</v>
      </c>
      <c r="H29" s="2">
        <v>120.76300000000001</v>
      </c>
      <c r="I29" s="2">
        <v>145.654</v>
      </c>
      <c r="J29" s="2">
        <v>203.67099999999999</v>
      </c>
      <c r="K29" s="2">
        <v>194.67699999999999</v>
      </c>
      <c r="L29" s="2">
        <v>197.14</v>
      </c>
      <c r="M29" s="2">
        <v>208.102</v>
      </c>
      <c r="N29" s="2">
        <v>224.17</v>
      </c>
      <c r="O29" s="2">
        <f>O26*0.12</f>
        <v>227.46719999999999</v>
      </c>
      <c r="P29" s="2">
        <f t="shared" ref="P29:R29" si="139">P26*0.12</f>
        <v>231.82919999999999</v>
      </c>
      <c r="Q29" s="2">
        <f t="shared" si="139"/>
        <v>239.23199999999997</v>
      </c>
      <c r="R29" s="2">
        <f t="shared" si="139"/>
        <v>258.56039999999996</v>
      </c>
      <c r="S29" s="2">
        <v>271.3</v>
      </c>
      <c r="T29" s="2">
        <v>274.3</v>
      </c>
      <c r="U29" s="2">
        <v>312.5</v>
      </c>
      <c r="V29" s="2">
        <f>1436.3-U29-T29-S29</f>
        <v>578.20000000000005</v>
      </c>
      <c r="W29" s="2">
        <v>479.2</v>
      </c>
      <c r="X29" s="2">
        <v>527.79999999999995</v>
      </c>
      <c r="Y29" s="2">
        <v>435.3</v>
      </c>
      <c r="Z29" s="2">
        <f>2369.5-Y29-X29-W29</f>
        <v>927.2</v>
      </c>
      <c r="AA29" s="2">
        <v>616.6</v>
      </c>
      <c r="AB29" s="2">
        <v>603.20000000000005</v>
      </c>
      <c r="AC29" s="2">
        <v>553.79999999999995</v>
      </c>
      <c r="AD29" s="2">
        <f>2652.5-AC29-AB29-AA29</f>
        <v>878.89999999999975</v>
      </c>
      <c r="AE29" s="2">
        <v>503.8</v>
      </c>
      <c r="AF29" s="2">
        <v>434.4</v>
      </c>
      <c r="AG29" s="2">
        <v>527.6</v>
      </c>
      <c r="AH29" s="2">
        <v>762.6</v>
      </c>
      <c r="AI29" s="2">
        <v>512.5</v>
      </c>
      <c r="AJ29" s="2">
        <v>604</v>
      </c>
      <c r="AK29" s="2">
        <v>635.9</v>
      </c>
      <c r="AL29" s="2">
        <v>792.7</v>
      </c>
      <c r="AM29" s="2">
        <v>556</v>
      </c>
      <c r="AN29" s="2">
        <v>575</v>
      </c>
      <c r="AO29" s="2">
        <v>568</v>
      </c>
      <c r="AP29" s="2">
        <v>831.6</v>
      </c>
      <c r="AQ29" s="2">
        <v>555.4</v>
      </c>
      <c r="AR29" s="2">
        <v>627.20000000000005</v>
      </c>
      <c r="AS29" s="2">
        <v>558.70000000000005</v>
      </c>
      <c r="AT29" s="2">
        <v>916.6</v>
      </c>
      <c r="AU29" s="2">
        <v>654.29999999999995</v>
      </c>
      <c r="AV29" s="2">
        <v>644.1</v>
      </c>
      <c r="AW29" s="2">
        <v>642.9</v>
      </c>
      <c r="AX29" s="2">
        <v>976.2</v>
      </c>
      <c r="AY29" s="2">
        <v>688.4</v>
      </c>
      <c r="AZ29" s="2">
        <f t="shared" ref="AZ29:BA29" si="140">AZ26*0.07</f>
        <v>776.21515999999997</v>
      </c>
      <c r="BA29" s="2">
        <f t="shared" si="140"/>
        <v>777.13377000000003</v>
      </c>
      <c r="BB29" s="2">
        <f>BB26*0.1</f>
        <v>1086.1290000000001</v>
      </c>
      <c r="BD29" s="2">
        <v>402.63799999999998</v>
      </c>
      <c r="BE29" s="2">
        <v>484.72899999999998</v>
      </c>
      <c r="BF29" s="2">
        <f>SUM(C29:F29)</f>
        <v>469.94200000000001</v>
      </c>
      <c r="BG29" s="2">
        <f>SUM(G29:J29)</f>
        <v>607.18599999999992</v>
      </c>
      <c r="BH29" s="2">
        <f>SUM(K29:N29)</f>
        <v>824.08899999999994</v>
      </c>
      <c r="BI29" s="2">
        <f>SUM(O29:R29)</f>
        <v>957.08879999999988</v>
      </c>
      <c r="BJ29" s="15">
        <f t="shared" ref="BJ29:BJ31" si="141">SUM(S29:V29)</f>
        <v>1436.3000000000002</v>
      </c>
      <c r="BK29" s="15">
        <f t="shared" ref="BK29:BK31" si="142">SUM(W29:Z29)</f>
        <v>2369.5</v>
      </c>
      <c r="BL29" s="15">
        <f t="shared" ref="BL29:BL31" si="143">SUM(AA29:AD29)</f>
        <v>2652.5</v>
      </c>
      <c r="BM29" s="15">
        <f>SUM(AE29:AH29)</f>
        <v>2228.4</v>
      </c>
      <c r="BN29" s="2">
        <f>SUM(AI29:AL29)</f>
        <v>2545.1000000000004</v>
      </c>
      <c r="BO29" s="2">
        <f>SUM(AM29:AP29)</f>
        <v>2530.6</v>
      </c>
      <c r="BP29" s="2">
        <f>SUM(AQ29:AT29)</f>
        <v>2657.9</v>
      </c>
      <c r="BQ29" s="2">
        <f>SUM(AU29:AX29)</f>
        <v>2917.5</v>
      </c>
      <c r="BR29" s="2">
        <f>SUM(AY29:BB29)</f>
        <v>3327.8779299999997</v>
      </c>
      <c r="BS29" s="2">
        <f t="shared" ref="BS29:CB29" si="144">BS26*0.07</f>
        <v>3295.7660484000003</v>
      </c>
      <c r="BT29" s="2">
        <f t="shared" si="144"/>
        <v>3460.5543508200008</v>
      </c>
      <c r="BU29" s="2">
        <f t="shared" si="144"/>
        <v>3564.3709813446003</v>
      </c>
      <c r="BV29" s="2">
        <f t="shared" si="144"/>
        <v>3635.6584009714925</v>
      </c>
      <c r="BW29" s="2">
        <f t="shared" si="144"/>
        <v>3672.0149849812074</v>
      </c>
      <c r="BX29" s="2">
        <f t="shared" si="144"/>
        <v>3708.7351348310194</v>
      </c>
      <c r="BY29" s="2">
        <f t="shared" si="144"/>
        <v>3745.8224861793296</v>
      </c>
      <c r="BZ29" s="2">
        <f t="shared" si="144"/>
        <v>3783.2807110411231</v>
      </c>
      <c r="CA29" s="2">
        <f t="shared" si="144"/>
        <v>3821.1135181515342</v>
      </c>
      <c r="CB29" s="2">
        <f t="shared" si="144"/>
        <v>3859.3246533330494</v>
      </c>
    </row>
    <row r="30" spans="2:80">
      <c r="B30" t="s">
        <v>29</v>
      </c>
      <c r="C30" s="6">
        <v>91.974999999999994</v>
      </c>
      <c r="D30" s="6">
        <v>93.126000000000005</v>
      </c>
      <c r="E30" s="6">
        <v>95.54</v>
      </c>
      <c r="F30" s="2">
        <v>98.128</v>
      </c>
      <c r="G30" s="2">
        <v>110.31</v>
      </c>
      <c r="H30" s="2">
        <v>115.182</v>
      </c>
      <c r="I30" s="2">
        <v>120.953</v>
      </c>
      <c r="J30" s="2">
        <v>125.876</v>
      </c>
      <c r="K30" s="2">
        <v>143.10599999999999</v>
      </c>
      <c r="L30" s="2">
        <v>155.06100000000001</v>
      </c>
      <c r="M30" s="2">
        <v>171.762</v>
      </c>
      <c r="N30" s="2">
        <v>180.86</v>
      </c>
      <c r="O30" s="2">
        <f>O26*0.1</f>
        <v>189.55600000000001</v>
      </c>
      <c r="P30" s="2">
        <f t="shared" ref="P30:R30" si="145">P26*0.1</f>
        <v>193.191</v>
      </c>
      <c r="Q30" s="2">
        <f t="shared" si="145"/>
        <v>199.36</v>
      </c>
      <c r="R30" s="2">
        <f t="shared" si="145"/>
        <v>215.46699999999998</v>
      </c>
      <c r="S30" s="2">
        <v>257.10000000000002</v>
      </c>
      <c r="T30" s="2">
        <v>267.10000000000002</v>
      </c>
      <c r="U30" s="2">
        <v>255.2</v>
      </c>
      <c r="V30" s="2">
        <f>953.7-U30-T30-S30</f>
        <v>174.29999999999995</v>
      </c>
      <c r="W30" s="2">
        <v>300.7</v>
      </c>
      <c r="X30" s="2">
        <v>317.2</v>
      </c>
      <c r="Y30" s="2">
        <v>327</v>
      </c>
      <c r="Z30" s="2">
        <f>1221.8-Y30-X30-W30</f>
        <v>276.89999999999992</v>
      </c>
      <c r="AA30" s="2">
        <v>372.8</v>
      </c>
      <c r="AB30" s="2">
        <v>383.2</v>
      </c>
      <c r="AC30" s="2">
        <v>379.8</v>
      </c>
      <c r="AD30" s="2">
        <f>1545-AC30-AB30-AA30</f>
        <v>409.2</v>
      </c>
      <c r="AE30" s="2">
        <v>453.8</v>
      </c>
      <c r="AF30" s="2">
        <v>435</v>
      </c>
      <c r="AG30" s="2">
        <v>453.8</v>
      </c>
      <c r="AH30" s="2">
        <v>486.9</v>
      </c>
      <c r="AI30" s="2">
        <v>525.20000000000005</v>
      </c>
      <c r="AJ30" s="2">
        <v>537.29999999999995</v>
      </c>
      <c r="AK30" s="2">
        <v>563.9</v>
      </c>
      <c r="AL30" s="2">
        <v>647.5</v>
      </c>
      <c r="AM30" s="2">
        <v>657.5</v>
      </c>
      <c r="AN30" s="2">
        <v>716.8</v>
      </c>
      <c r="AO30" s="2">
        <v>662.7</v>
      </c>
      <c r="AP30" s="2">
        <v>673.9</v>
      </c>
      <c r="AQ30" s="2">
        <v>687.3</v>
      </c>
      <c r="AR30" s="2">
        <v>658</v>
      </c>
      <c r="AS30" s="2">
        <v>657.2</v>
      </c>
      <c r="AT30" s="2">
        <v>673.3</v>
      </c>
      <c r="AU30" s="2">
        <v>702.5</v>
      </c>
      <c r="AV30" s="2">
        <v>711.3</v>
      </c>
      <c r="AW30" s="2">
        <v>735.1</v>
      </c>
      <c r="AX30" s="2">
        <v>776.5</v>
      </c>
      <c r="AY30" s="2">
        <v>822.8</v>
      </c>
      <c r="AZ30" s="2">
        <f>AV30*1.13</f>
        <v>803.76899999999989</v>
      </c>
      <c r="BA30" s="2">
        <f>AW30*1.09</f>
        <v>801.25900000000013</v>
      </c>
      <c r="BB30" s="2">
        <f>AX30*1.05</f>
        <v>815.32500000000005</v>
      </c>
      <c r="BD30" s="2">
        <v>259.03300000000002</v>
      </c>
      <c r="BE30" s="2">
        <v>329.00799999999998</v>
      </c>
      <c r="BF30" s="2">
        <f>SUM(C30:F30)</f>
        <v>378.76900000000001</v>
      </c>
      <c r="BG30" s="2">
        <f>SUM(G30:J30)</f>
        <v>472.32100000000003</v>
      </c>
      <c r="BH30" s="2">
        <f>SUM(K30:N30)</f>
        <v>650.78899999999999</v>
      </c>
      <c r="BI30" s="2">
        <f>SUM(O30:R30)</f>
        <v>797.57399999999996</v>
      </c>
      <c r="BJ30" s="15">
        <f t="shared" si="141"/>
        <v>953.7</v>
      </c>
      <c r="BK30" s="15">
        <f t="shared" si="142"/>
        <v>1221.8</v>
      </c>
      <c r="BL30" s="15">
        <f t="shared" si="143"/>
        <v>1545</v>
      </c>
      <c r="BM30" s="15">
        <f>SUM(AE30:AH30)</f>
        <v>1829.5</v>
      </c>
      <c r="BN30" s="2">
        <f>SUM(AI30:AL30)</f>
        <v>2273.9</v>
      </c>
      <c r="BO30" s="2">
        <f>SUM(AM30:AP30)</f>
        <v>2710.9</v>
      </c>
      <c r="BP30" s="2">
        <f>SUM(AQ30:AT30)</f>
        <v>2675.8</v>
      </c>
      <c r="BQ30" s="2">
        <f>SUM(AU30:AX30)</f>
        <v>2925.4</v>
      </c>
      <c r="BR30" s="2">
        <f>SUM(AY30:BB30)</f>
        <v>3243.1530000000002</v>
      </c>
      <c r="BS30" s="2">
        <f>BR30*1.05</f>
        <v>3405.3106500000004</v>
      </c>
      <c r="BT30" s="2">
        <f>BS30*1.03</f>
        <v>3507.4699695000004</v>
      </c>
      <c r="BU30" s="2">
        <f>BT30*1.02</f>
        <v>3577.6193688900003</v>
      </c>
      <c r="BV30" s="2">
        <f t="shared" ref="BV30:CB31" si="146">BU30*1.01</f>
        <v>3613.3955625789004</v>
      </c>
      <c r="BW30" s="2">
        <f t="shared" si="146"/>
        <v>3649.5295182046893</v>
      </c>
      <c r="BX30" s="2">
        <f t="shared" si="146"/>
        <v>3686.0248133867362</v>
      </c>
      <c r="BY30" s="2">
        <f t="shared" si="146"/>
        <v>3722.8850615206038</v>
      </c>
      <c r="BZ30" s="2">
        <f t="shared" si="146"/>
        <v>3760.1139121358101</v>
      </c>
      <c r="CA30" s="2">
        <f t="shared" si="146"/>
        <v>3797.7150512571684</v>
      </c>
      <c r="CB30" s="2">
        <f t="shared" si="146"/>
        <v>3835.6922017697402</v>
      </c>
    </row>
    <row r="31" spans="2:80">
      <c r="B31" t="s">
        <v>31</v>
      </c>
      <c r="C31" s="6">
        <v>44.125999999999998</v>
      </c>
      <c r="D31" s="6">
        <v>43.844000000000001</v>
      </c>
      <c r="E31" s="6">
        <v>46.210999999999999</v>
      </c>
      <c r="F31" s="2">
        <v>46.12</v>
      </c>
      <c r="G31" s="2">
        <v>55.9</v>
      </c>
      <c r="H31" s="2">
        <v>60.014000000000003</v>
      </c>
      <c r="I31" s="2">
        <v>78.024000000000001</v>
      </c>
      <c r="J31" s="2">
        <v>75.802999999999997</v>
      </c>
      <c r="K31" s="2">
        <v>91.489000000000004</v>
      </c>
      <c r="L31" s="2">
        <v>95.906000000000006</v>
      </c>
      <c r="M31" s="2">
        <v>110.892</v>
      </c>
      <c r="N31" s="2">
        <v>109.042</v>
      </c>
      <c r="O31" s="2">
        <f>O26*0.06</f>
        <v>113.7336</v>
      </c>
      <c r="P31" s="2">
        <f t="shared" ref="P31:R31" si="147">P26*0.06</f>
        <v>115.91459999999999</v>
      </c>
      <c r="Q31" s="2">
        <f t="shared" si="147"/>
        <v>119.61599999999999</v>
      </c>
      <c r="R31" s="2">
        <f t="shared" si="147"/>
        <v>129.28019999999998</v>
      </c>
      <c r="S31" s="2">
        <v>194.3</v>
      </c>
      <c r="T31" s="2">
        <v>213.9</v>
      </c>
      <c r="U31" s="2">
        <v>215.5</v>
      </c>
      <c r="V31" s="2">
        <f>431-U31-T31-S31</f>
        <v>-192.70000000000002</v>
      </c>
      <c r="W31" s="2">
        <v>278.3</v>
      </c>
      <c r="X31" s="2">
        <v>311.2</v>
      </c>
      <c r="Y31" s="2">
        <v>344</v>
      </c>
      <c r="Z31" s="2">
        <f>630.3-Y31-X31-W31</f>
        <v>-303.20000000000005</v>
      </c>
      <c r="AA31" s="2">
        <v>202</v>
      </c>
      <c r="AB31" s="2">
        <v>224.7</v>
      </c>
      <c r="AC31" s="2">
        <v>233.2</v>
      </c>
      <c r="AD31" s="2">
        <f>914.4-AC31-AB31-AA31</f>
        <v>254.50000000000006</v>
      </c>
      <c r="AE31" s="2">
        <v>252.1</v>
      </c>
      <c r="AF31" s="2">
        <v>277</v>
      </c>
      <c r="AG31" s="2">
        <v>271.60000000000002</v>
      </c>
      <c r="AH31" s="2">
        <v>275.5</v>
      </c>
      <c r="AI31" s="2">
        <v>297.2</v>
      </c>
      <c r="AJ31" s="2">
        <v>334.8</v>
      </c>
      <c r="AK31" s="2">
        <v>321.8</v>
      </c>
      <c r="AL31" s="2">
        <v>397.8</v>
      </c>
      <c r="AM31" s="2">
        <v>397.9</v>
      </c>
      <c r="AN31" s="2">
        <v>409.3</v>
      </c>
      <c r="AO31" s="2">
        <v>373.2</v>
      </c>
      <c r="AP31" s="2">
        <v>392.5</v>
      </c>
      <c r="AQ31" s="2">
        <v>400.9</v>
      </c>
      <c r="AR31" s="2">
        <v>401.5</v>
      </c>
      <c r="AS31" s="2">
        <v>478.6</v>
      </c>
      <c r="AT31" s="2">
        <v>439.3</v>
      </c>
      <c r="AU31" s="2">
        <v>404</v>
      </c>
      <c r="AV31" s="2">
        <v>427</v>
      </c>
      <c r="AW31" s="2">
        <v>417.4</v>
      </c>
      <c r="AX31" s="2">
        <v>453.7</v>
      </c>
      <c r="AY31" s="2">
        <v>421.5</v>
      </c>
      <c r="AZ31" s="2">
        <f t="shared" ref="AZ31:BB31" si="148">AV31*1.03</f>
        <v>439.81</v>
      </c>
      <c r="BA31" s="2">
        <f t="shared" si="148"/>
        <v>429.92199999999997</v>
      </c>
      <c r="BB31" s="2">
        <f t="shared" si="148"/>
        <v>467.31099999999998</v>
      </c>
      <c r="BD31" s="2">
        <v>126.937</v>
      </c>
      <c r="BE31" s="2">
        <v>119.687</v>
      </c>
      <c r="BF31" s="2">
        <f>SUM(C31:F31)</f>
        <v>180.30099999999999</v>
      </c>
      <c r="BG31" s="2">
        <f>SUM(G31:J31)</f>
        <v>269.74099999999999</v>
      </c>
      <c r="BH31" s="2">
        <f>SUM(K31:N31)</f>
        <v>407.32900000000006</v>
      </c>
      <c r="BI31" s="2">
        <f>SUM(O31:R31)</f>
        <v>478.54439999999994</v>
      </c>
      <c r="BJ31" s="15">
        <f t="shared" si="141"/>
        <v>431</v>
      </c>
      <c r="BK31" s="15">
        <f t="shared" si="142"/>
        <v>630.29999999999995</v>
      </c>
      <c r="BL31" s="15">
        <f t="shared" si="143"/>
        <v>914.40000000000009</v>
      </c>
      <c r="BM31" s="15">
        <f>SUM(AE31:AH31)</f>
        <v>1076.2</v>
      </c>
      <c r="BN31" s="2">
        <f>SUM(AI31:AL31)</f>
        <v>1351.6</v>
      </c>
      <c r="BO31" s="2">
        <f>SUM(AM31:AP31)</f>
        <v>1572.9</v>
      </c>
      <c r="BP31" s="2">
        <f>SUM(AQ31:AT31)</f>
        <v>1720.3</v>
      </c>
      <c r="BQ31" s="2">
        <f>SUM(AU31:AX31)</f>
        <v>1702.1000000000001</v>
      </c>
      <c r="BR31" s="2">
        <f>SUM(AY31:BB31)</f>
        <v>1758.5429999999999</v>
      </c>
      <c r="BS31" s="2">
        <f>BR31*1.02</f>
        <v>1793.7138599999998</v>
      </c>
      <c r="BT31" s="2">
        <f>BS31*1.02</f>
        <v>1829.5881371999999</v>
      </c>
      <c r="BU31" s="2">
        <f t="shared" ref="BU31" si="149">BT31*1.01</f>
        <v>1847.8840185719998</v>
      </c>
      <c r="BV31" s="2">
        <f t="shared" si="146"/>
        <v>1866.3628587577198</v>
      </c>
      <c r="BW31" s="2">
        <f t="shared" si="146"/>
        <v>1885.026487345297</v>
      </c>
      <c r="BX31" s="2">
        <f t="shared" si="146"/>
        <v>1903.87675221875</v>
      </c>
      <c r="BY31" s="2">
        <f t="shared" si="146"/>
        <v>1922.9155197409375</v>
      </c>
      <c r="BZ31" s="2">
        <f t="shared" si="146"/>
        <v>1942.144674938347</v>
      </c>
      <c r="CA31" s="2">
        <f t="shared" si="146"/>
        <v>1961.5661216877304</v>
      </c>
      <c r="CB31" s="2">
        <f t="shared" si="146"/>
        <v>1981.1817829046076</v>
      </c>
    </row>
    <row r="32" spans="2:80" s="1" customFormat="1">
      <c r="B32" s="1" t="s">
        <v>32</v>
      </c>
      <c r="C32" s="7">
        <f t="shared" ref="C32:N32" si="150">C28-C29-C30-C31</f>
        <v>31.82200000000001</v>
      </c>
      <c r="D32" s="7">
        <f t="shared" si="150"/>
        <v>57.117000000000097</v>
      </c>
      <c r="E32" s="7">
        <f t="shared" si="150"/>
        <v>57.120000000000033</v>
      </c>
      <c r="F32" s="16">
        <f t="shared" si="150"/>
        <v>82.288000000000011</v>
      </c>
      <c r="G32" s="16">
        <f t="shared" si="150"/>
        <v>97.594999999999885</v>
      </c>
      <c r="H32" s="16">
        <f t="shared" si="150"/>
        <v>129.60000000000014</v>
      </c>
      <c r="I32" s="16">
        <f t="shared" si="150"/>
        <v>110.40700000000001</v>
      </c>
      <c r="J32" s="16">
        <f t="shared" si="150"/>
        <v>65.046000000000078</v>
      </c>
      <c r="K32" s="16">
        <f t="shared" si="150"/>
        <v>97.456000000000046</v>
      </c>
      <c r="L32" s="16">
        <f t="shared" si="150"/>
        <v>74.835000000000008</v>
      </c>
      <c r="M32" s="16">
        <f t="shared" si="150"/>
        <v>73.640999999999963</v>
      </c>
      <c r="N32" s="16">
        <f t="shared" si="150"/>
        <v>59.891000000000219</v>
      </c>
      <c r="O32" s="16">
        <f t="shared" ref="O32" si="151">O28-O29-O30-O31</f>
        <v>94.77800000000002</v>
      </c>
      <c r="P32" s="16">
        <f t="shared" ref="P32" si="152">P28-P29-P30-P31</f>
        <v>96.595500000000001</v>
      </c>
      <c r="Q32" s="16">
        <f t="shared" ref="Q32" si="153">Q28-Q29-Q30-Q31</f>
        <v>99.680000000000064</v>
      </c>
      <c r="R32" s="16">
        <f t="shared" ref="R32:S32" si="154">R28-R29-R30-R31</f>
        <v>107.73349999999999</v>
      </c>
      <c r="S32" s="16">
        <f t="shared" si="154"/>
        <v>258.10000000000019</v>
      </c>
      <c r="T32" s="16">
        <f t="shared" ref="T32:V32" si="155">T28-T29-T30-T31</f>
        <v>128.32000000000014</v>
      </c>
      <c r="U32" s="16">
        <f t="shared" si="155"/>
        <v>207.69199999999984</v>
      </c>
      <c r="V32" s="16">
        <f t="shared" si="155"/>
        <v>244.41200000000001</v>
      </c>
      <c r="W32" s="16">
        <f t="shared" ref="W32" si="156">W28-W29-W30-W31</f>
        <v>447.57600000000019</v>
      </c>
      <c r="X32" s="16">
        <f t="shared" ref="X32" si="157">X28-X29-X30-X31</f>
        <v>461.79519999999985</v>
      </c>
      <c r="Y32" s="16">
        <f t="shared" ref="Y32:Z32" si="158">Y28-Y29-Y30-Y31</f>
        <v>480.41252000000009</v>
      </c>
      <c r="Z32" s="16">
        <f t="shared" si="158"/>
        <v>215.82960000000111</v>
      </c>
      <c r="AA32" s="16">
        <f t="shared" ref="AA32" si="159">AA28-AA29-AA30-AA31</f>
        <v>459.00000000000023</v>
      </c>
      <c r="AB32" s="16">
        <f t="shared" ref="AB32" si="160">AB28-AB29-AB30-AB31</f>
        <v>706.2</v>
      </c>
      <c r="AC32" s="16">
        <f t="shared" ref="AC32:AD32" si="161">AC28-AC29-AC30-AC31</f>
        <v>988.3</v>
      </c>
      <c r="AD32" s="16">
        <f t="shared" si="161"/>
        <v>458.3999999999989</v>
      </c>
      <c r="AE32" s="16">
        <f t="shared" ref="AE32:AM32" si="162">AE28-AE29-AE30-AE31</f>
        <v>958.60000000000025</v>
      </c>
      <c r="AF32" s="16">
        <f t="shared" si="162"/>
        <v>1357.9</v>
      </c>
      <c r="AG32" s="16">
        <f t="shared" si="162"/>
        <v>1311.1999999999998</v>
      </c>
      <c r="AH32" s="16">
        <f t="shared" si="162"/>
        <v>954</v>
      </c>
      <c r="AI32" s="16">
        <f t="shared" si="162"/>
        <v>1960.6000000000001</v>
      </c>
      <c r="AJ32" s="16">
        <f t="shared" si="162"/>
        <v>1847.7</v>
      </c>
      <c r="AK32" s="16">
        <f t="shared" si="162"/>
        <v>1755.2999999999995</v>
      </c>
      <c r="AL32" s="16">
        <f t="shared" ref="AL32" si="163">AL28-AL29-AL30-AL31</f>
        <v>631.69999999999982</v>
      </c>
      <c r="AM32" s="16">
        <f t="shared" si="162"/>
        <v>1971.7000000000003</v>
      </c>
      <c r="AN32" s="16">
        <f t="shared" ref="AN32:AO32" si="164">AN28-AN29-AN30-AN31</f>
        <v>1578.2000000000003</v>
      </c>
      <c r="AO32" s="16">
        <f t="shared" si="164"/>
        <v>1533.0000000000005</v>
      </c>
      <c r="AP32" s="16">
        <f t="shared" ref="AP32:AR32" si="165">AP28-AP29-AP30-AP31</f>
        <v>549.90000000000066</v>
      </c>
      <c r="AQ32" s="16">
        <f t="shared" ref="AQ32" si="166">AQ28-AQ29-AQ30-AQ31</f>
        <v>1714.2999999999997</v>
      </c>
      <c r="AR32" s="16">
        <f t="shared" si="165"/>
        <v>1827.1000000000004</v>
      </c>
      <c r="AS32" s="16">
        <f t="shared" ref="AS32" si="167">AS28-AS29-AS30-AS31</f>
        <v>1916.400000000001</v>
      </c>
      <c r="AT32" s="16">
        <f t="shared" ref="AT32:BB32" si="168">AT28-AT29-AT30-AT31</f>
        <v>1496.0999999999995</v>
      </c>
      <c r="AU32" s="16">
        <f t="shared" si="168"/>
        <v>2632.4999999999991</v>
      </c>
      <c r="AV32" s="16">
        <f t="shared" si="168"/>
        <v>2602.7999999999993</v>
      </c>
      <c r="AW32" s="16">
        <f t="shared" si="168"/>
        <v>2909.400000000001</v>
      </c>
      <c r="AX32" s="16">
        <f t="shared" si="168"/>
        <v>2272.7000000000007</v>
      </c>
      <c r="AY32" s="16">
        <f t="shared" si="168"/>
        <v>3346.9999999999991</v>
      </c>
      <c r="AZ32" s="16">
        <f t="shared" si="168"/>
        <v>3302.8240799999994</v>
      </c>
      <c r="BA32" s="16">
        <f t="shared" si="168"/>
        <v>3320.6025099999993</v>
      </c>
      <c r="BB32" s="16">
        <f t="shared" si="168"/>
        <v>2627.4284000000011</v>
      </c>
      <c r="BD32" s="16">
        <f>BD28-BD29-BD30-BD31</f>
        <v>376.06800000000021</v>
      </c>
      <c r="BE32" s="16">
        <f>BE28-BE29-BE30-BE31</f>
        <v>49.992000000000203</v>
      </c>
      <c r="BF32" s="16">
        <f>BF28-BF29-BF30-BF31</f>
        <v>228.34699999999992</v>
      </c>
      <c r="BG32" s="16">
        <f>BG28-BG29-BG30-BG31</f>
        <v>402.64800000000025</v>
      </c>
      <c r="BH32" s="16">
        <f>BH28-BH29-BH30-BH31</f>
        <v>305.82300000000066</v>
      </c>
      <c r="BI32" s="16">
        <f t="shared" ref="BI32:BW32" si="169">BI28-BI29-BI30-BI31</f>
        <v>398.78700000000021</v>
      </c>
      <c r="BJ32" s="16">
        <f t="shared" si="169"/>
        <v>838.52399999999921</v>
      </c>
      <c r="BK32" s="16">
        <f t="shared" si="169"/>
        <v>1605.6133200000006</v>
      </c>
      <c r="BL32" s="16">
        <f t="shared" si="169"/>
        <v>2601.8999999999992</v>
      </c>
      <c r="BM32" s="16">
        <f t="shared" si="169"/>
        <v>4581.7</v>
      </c>
      <c r="BN32" s="16">
        <f t="shared" si="169"/>
        <v>6195.2999999999975</v>
      </c>
      <c r="BO32" s="16">
        <f t="shared" si="169"/>
        <v>5632.7999999999975</v>
      </c>
      <c r="BP32" s="16">
        <f t="shared" si="169"/>
        <v>6953.9000000000005</v>
      </c>
      <c r="BQ32" s="16">
        <f t="shared" si="169"/>
        <v>10417.399999999994</v>
      </c>
      <c r="BR32" s="16">
        <f t="shared" si="169"/>
        <v>12597.854989999996</v>
      </c>
      <c r="BS32" s="16">
        <f t="shared" si="169"/>
        <v>15046.3955016</v>
      </c>
      <c r="BT32" s="16">
        <f t="shared" si="169"/>
        <v>16909.362719999997</v>
      </c>
      <c r="BU32" s="16">
        <f t="shared" si="169"/>
        <v>17997.505918516803</v>
      </c>
      <c r="BV32" s="16">
        <f t="shared" si="169"/>
        <v>18931.090842329111</v>
      </c>
      <c r="BW32" s="16">
        <f t="shared" si="169"/>
        <v>19120.401750752404</v>
      </c>
      <c r="BX32" s="16">
        <f t="shared" ref="BX32:CB32" si="170">BX28-BX29-BX30-BX31</f>
        <v>19311.605768259928</v>
      </c>
      <c r="BY32" s="16">
        <f t="shared" si="170"/>
        <v>19504.721825942532</v>
      </c>
      <c r="BZ32" s="16">
        <f t="shared" si="170"/>
        <v>19699.769044201952</v>
      </c>
      <c r="CA32" s="16">
        <f t="shared" si="170"/>
        <v>19896.766734643974</v>
      </c>
      <c r="CB32" s="16">
        <f t="shared" si="170"/>
        <v>20095.734401990412</v>
      </c>
    </row>
    <row r="33" spans="2:150">
      <c r="B33" t="s">
        <v>33</v>
      </c>
      <c r="C33" s="6">
        <f>6.74+25.129</f>
        <v>31.869</v>
      </c>
      <c r="D33" s="6">
        <v>7.5279999999999996</v>
      </c>
      <c r="E33" s="6">
        <v>7.4359999999999999</v>
      </c>
      <c r="F33" s="2">
        <v>7.4379999999999997</v>
      </c>
      <c r="G33" s="2">
        <v>10.052</v>
      </c>
      <c r="H33" s="2">
        <v>13.327999999999999</v>
      </c>
      <c r="I33" s="2">
        <v>13.486000000000001</v>
      </c>
      <c r="J33" s="2">
        <v>13.353</v>
      </c>
      <c r="K33" s="2">
        <v>26.736999999999998</v>
      </c>
      <c r="L33" s="2">
        <v>35.216999999999999</v>
      </c>
      <c r="M33" s="2">
        <v>35.332999999999998</v>
      </c>
      <c r="N33" s="2">
        <v>35.429000000000002</v>
      </c>
      <c r="O33" s="2">
        <f>N33*1.01</f>
        <v>35.783290000000001</v>
      </c>
      <c r="P33" s="2">
        <f t="shared" ref="P33:R33" si="171">O33*1.01</f>
        <v>36.141122899999999</v>
      </c>
      <c r="Q33" s="2">
        <f t="shared" si="171"/>
        <v>36.502534128999997</v>
      </c>
      <c r="R33" s="2">
        <f t="shared" si="171"/>
        <v>36.867559470289997</v>
      </c>
      <c r="S33" s="2">
        <v>46.7</v>
      </c>
      <c r="T33" s="2">
        <v>55.5</v>
      </c>
      <c r="U33" s="2">
        <v>60.7</v>
      </c>
      <c r="V33" s="2">
        <f>238.2-U33-T33-S33</f>
        <v>75.3</v>
      </c>
      <c r="W33" s="2">
        <v>81.2</v>
      </c>
      <c r="X33" s="2">
        <v>101.6</v>
      </c>
      <c r="Y33" s="2">
        <v>108.9</v>
      </c>
      <c r="Z33" s="2">
        <f>420.5-Y33-X33-W33</f>
        <v>128.80000000000001</v>
      </c>
      <c r="AA33" s="2">
        <v>135.5</v>
      </c>
      <c r="AB33" s="2">
        <v>152</v>
      </c>
      <c r="AC33" s="2">
        <v>160.69999999999999</v>
      </c>
      <c r="AD33" s="2">
        <f>626-AC33-AB33-AA33</f>
        <v>177.8</v>
      </c>
      <c r="AE33" s="2">
        <v>184.1</v>
      </c>
      <c r="AF33" s="2">
        <v>189.2</v>
      </c>
      <c r="AG33" s="2">
        <v>197.1</v>
      </c>
      <c r="AH33" s="2">
        <v>197.2</v>
      </c>
      <c r="AI33" s="2">
        <v>194.4</v>
      </c>
      <c r="AJ33" s="2">
        <v>191.3</v>
      </c>
      <c r="AK33" s="2">
        <v>190.4</v>
      </c>
      <c r="AL33" s="2">
        <v>189.4</v>
      </c>
      <c r="AM33" s="2">
        <v>187.6</v>
      </c>
      <c r="AN33" s="2">
        <v>175.5</v>
      </c>
      <c r="AO33" s="2">
        <v>172.5</v>
      </c>
      <c r="AP33" s="2">
        <v>170.6</v>
      </c>
      <c r="AQ33" s="2">
        <v>174.2</v>
      </c>
      <c r="AR33" s="2">
        <v>174.8</v>
      </c>
      <c r="AS33" s="2">
        <v>175.6</v>
      </c>
      <c r="AT33" s="2">
        <v>175.2</v>
      </c>
      <c r="AU33" s="2">
        <v>173.3</v>
      </c>
      <c r="AV33" s="2">
        <v>168</v>
      </c>
      <c r="AW33" s="2">
        <v>184.8</v>
      </c>
      <c r="AX33" s="2">
        <v>192.6</v>
      </c>
      <c r="AY33" s="2">
        <v>184.2</v>
      </c>
      <c r="AZ33" s="2">
        <f t="shared" ref="AZ33:BB34" si="172">AV33*1.03</f>
        <v>173.04</v>
      </c>
      <c r="BA33" s="2">
        <f t="shared" si="172"/>
        <v>190.34400000000002</v>
      </c>
      <c r="BB33" s="2">
        <f t="shared" si="172"/>
        <v>198.37799999999999</v>
      </c>
      <c r="BD33" s="2">
        <v>20.024999999999999</v>
      </c>
      <c r="BE33" s="2">
        <v>19.986000000000001</v>
      </c>
      <c r="BF33" s="2">
        <f>SUM(C33:F33)</f>
        <v>54.271000000000001</v>
      </c>
      <c r="BG33" s="2">
        <f>SUM(G33:J33)</f>
        <v>50.219000000000001</v>
      </c>
      <c r="BH33" s="2">
        <f>SUM(K33:N33)</f>
        <v>132.71600000000001</v>
      </c>
      <c r="BI33" s="2">
        <f>SUM(O33:R33)</f>
        <v>145.29450649928998</v>
      </c>
      <c r="BJ33" s="15">
        <f t="shared" ref="BJ33:BJ34" si="173">SUM(S33:V33)</f>
        <v>238.2</v>
      </c>
      <c r="BK33" s="15">
        <f t="shared" ref="BK33:BK34" si="174">SUM(W33:Z33)</f>
        <v>420.50000000000006</v>
      </c>
      <c r="BL33" s="15">
        <f t="shared" ref="BL33" si="175">SUM(AA33:AD33)</f>
        <v>626</v>
      </c>
      <c r="BM33" s="15">
        <f>SUM(AE33:AH33)</f>
        <v>767.59999999999991</v>
      </c>
      <c r="BN33" s="2">
        <f>SUM(AI33:AL33)</f>
        <v>765.5</v>
      </c>
      <c r="BO33" s="2">
        <f>SUM(AM33:AP33)</f>
        <v>706.2</v>
      </c>
      <c r="BP33" s="2">
        <f>SUM(AQ33:AT33)</f>
        <v>699.8</v>
      </c>
      <c r="BQ33" s="2">
        <f>SUM(AU33:AX33)</f>
        <v>718.7</v>
      </c>
      <c r="BR33" s="2">
        <f>SUM(AY33:BB33)</f>
        <v>745.96199999999999</v>
      </c>
      <c r="BS33" s="2">
        <f t="shared" ref="BS33:CB34" si="176">BR33*1.01</f>
        <v>753.42161999999996</v>
      </c>
      <c r="BT33" s="2">
        <f t="shared" si="176"/>
        <v>760.95583620000002</v>
      </c>
      <c r="BU33" s="2">
        <f t="shared" si="176"/>
        <v>768.56539456200005</v>
      </c>
      <c r="BV33" s="2">
        <f t="shared" si="176"/>
        <v>776.25104850762011</v>
      </c>
      <c r="BW33" s="2">
        <f t="shared" si="176"/>
        <v>784.01355899269629</v>
      </c>
      <c r="BX33" s="2">
        <f t="shared" si="176"/>
        <v>791.85369458262323</v>
      </c>
      <c r="BY33" s="2">
        <f t="shared" si="176"/>
        <v>799.77223152844942</v>
      </c>
      <c r="BZ33" s="2">
        <f t="shared" si="176"/>
        <v>807.7699538437339</v>
      </c>
      <c r="CA33" s="2">
        <f t="shared" si="176"/>
        <v>815.8476533821713</v>
      </c>
      <c r="CB33" s="2">
        <f t="shared" si="176"/>
        <v>824.00612991599303</v>
      </c>
    </row>
    <row r="34" spans="2:150">
      <c r="B34" t="s">
        <v>34</v>
      </c>
      <c r="C34" s="6">
        <v>-0.97699999999999998</v>
      </c>
      <c r="D34" s="6">
        <v>2.94</v>
      </c>
      <c r="E34" s="6">
        <v>0.193</v>
      </c>
      <c r="F34" s="2">
        <v>0.84599999999999997</v>
      </c>
      <c r="G34" s="2">
        <v>-1.401</v>
      </c>
      <c r="H34" s="2">
        <v>-1.1000000000000001</v>
      </c>
      <c r="I34" s="2">
        <v>-0.61599999999999999</v>
      </c>
      <c r="J34" s="2">
        <v>6.1769999999999996</v>
      </c>
      <c r="K34" s="2">
        <v>32.292999999999999</v>
      </c>
      <c r="L34" s="2">
        <v>-0.872</v>
      </c>
      <c r="M34" s="2">
        <v>-3.93</v>
      </c>
      <c r="N34" s="2">
        <v>3.734</v>
      </c>
      <c r="O34" s="2">
        <v>1</v>
      </c>
      <c r="P34" s="2">
        <v>1</v>
      </c>
      <c r="Q34" s="2">
        <v>1</v>
      </c>
      <c r="R34" s="2">
        <v>1</v>
      </c>
      <c r="S34" s="2">
        <v>-13.6</v>
      </c>
      <c r="T34" s="2">
        <v>58.4</v>
      </c>
      <c r="U34" s="2">
        <v>31.7</v>
      </c>
      <c r="V34" s="2">
        <f>115.2-U34-T34-S34</f>
        <v>38.700000000000003</v>
      </c>
      <c r="W34" s="2">
        <v>65.7</v>
      </c>
      <c r="X34" s="2">
        <v>-68</v>
      </c>
      <c r="Y34" s="2">
        <v>-7</v>
      </c>
      <c r="Z34" s="2">
        <f>-41.7-Y34-X34-W34</f>
        <v>-32.400000000000006</v>
      </c>
      <c r="AA34" s="2">
        <v>76.099999999999994</v>
      </c>
      <c r="AB34" s="2">
        <v>53.5</v>
      </c>
      <c r="AC34" s="2">
        <v>-192.7</v>
      </c>
      <c r="AD34" s="2">
        <f>-84-AC34-AB34-AA34</f>
        <v>-20.900000000000006</v>
      </c>
      <c r="AE34" s="2">
        <v>-21.7</v>
      </c>
      <c r="AF34" s="2">
        <v>133.19999999999999</v>
      </c>
      <c r="AG34" s="2">
        <v>256.3</v>
      </c>
      <c r="AH34" s="2">
        <v>250.6</v>
      </c>
      <c r="AI34" s="2">
        <v>-269.10000000000002</v>
      </c>
      <c r="AJ34" s="2">
        <v>62.5</v>
      </c>
      <c r="AK34" s="2">
        <v>-96.1</v>
      </c>
      <c r="AL34" s="2">
        <v>-108.5</v>
      </c>
      <c r="AM34" s="2">
        <v>-195.6</v>
      </c>
      <c r="AN34" s="2">
        <v>-220.2</v>
      </c>
      <c r="AO34" s="2">
        <v>-261.39999999999998</v>
      </c>
      <c r="AP34" s="2">
        <v>340</v>
      </c>
      <c r="AQ34" s="2">
        <v>71.2</v>
      </c>
      <c r="AR34" s="2">
        <v>-27</v>
      </c>
      <c r="AS34" s="2">
        <v>-168.2</v>
      </c>
      <c r="AT34" s="2">
        <v>172.7</v>
      </c>
      <c r="AU34" s="2">
        <v>-155.4</v>
      </c>
      <c r="AV34" s="2">
        <v>-79</v>
      </c>
      <c r="AW34" s="2">
        <v>21.7</v>
      </c>
      <c r="AX34" s="2">
        <v>-54.1</v>
      </c>
      <c r="AY34" s="2">
        <v>-50.9</v>
      </c>
      <c r="AZ34" s="2">
        <f t="shared" si="172"/>
        <v>-81.37</v>
      </c>
      <c r="BA34" s="2">
        <f t="shared" si="172"/>
        <v>22.350999999999999</v>
      </c>
      <c r="BB34" s="2">
        <f t="shared" si="172"/>
        <v>-55.723000000000006</v>
      </c>
      <c r="BD34" s="2">
        <v>-3.4790000000000001</v>
      </c>
      <c r="BE34" s="2">
        <v>-0.47399999999999998</v>
      </c>
      <c r="BF34" s="2">
        <f>SUM(C34:F34)</f>
        <v>3.0020000000000002</v>
      </c>
      <c r="BG34" s="2">
        <f>SUM(G34:J34)</f>
        <v>3.0599999999999992</v>
      </c>
      <c r="BH34" s="2">
        <f>SUM(K34:N34)</f>
        <v>31.225000000000001</v>
      </c>
      <c r="BI34" s="2">
        <v>50</v>
      </c>
      <c r="BJ34" s="15">
        <f t="shared" si="173"/>
        <v>115.2</v>
      </c>
      <c r="BK34" s="15">
        <f t="shared" si="174"/>
        <v>-41.7</v>
      </c>
      <c r="BL34" s="15">
        <f t="shared" ref="BL34" si="177">SUM(AA34:AD34)</f>
        <v>-84</v>
      </c>
      <c r="BM34" s="15">
        <f>SUM(AE34:AH34)</f>
        <v>618.4</v>
      </c>
      <c r="BN34" s="2">
        <f>SUM(AI34:AL34)</f>
        <v>-411.20000000000005</v>
      </c>
      <c r="BO34" s="2">
        <f>SUM(AM34:AP34)</f>
        <v>-337.19999999999993</v>
      </c>
      <c r="BP34" s="2">
        <f>SUM(AQ34:AT34)</f>
        <v>48.7</v>
      </c>
      <c r="BQ34" s="2">
        <f>SUM(AU34:AX34)</f>
        <v>-266.8</v>
      </c>
      <c r="BR34" s="2">
        <f>SUM(AY34:BB34)</f>
        <v>-165.64200000000002</v>
      </c>
      <c r="BS34" s="2">
        <f t="shared" si="176"/>
        <v>-167.29842000000002</v>
      </c>
      <c r="BT34" s="2">
        <f t="shared" si="176"/>
        <v>-168.97140420000002</v>
      </c>
      <c r="BU34" s="2">
        <f t="shared" si="176"/>
        <v>-170.66111824200001</v>
      </c>
      <c r="BV34" s="2">
        <f t="shared" si="176"/>
        <v>-172.36772942442002</v>
      </c>
      <c r="BW34" s="2">
        <f t="shared" si="176"/>
        <v>-174.09140671866422</v>
      </c>
      <c r="BX34" s="2">
        <f t="shared" si="176"/>
        <v>-175.83232078585087</v>
      </c>
      <c r="BY34" s="2">
        <f t="shared" si="176"/>
        <v>-177.59064399370939</v>
      </c>
      <c r="BZ34" s="2">
        <f t="shared" si="176"/>
        <v>-179.36655043364649</v>
      </c>
      <c r="CA34" s="2">
        <f t="shared" si="176"/>
        <v>-181.16021593798297</v>
      </c>
      <c r="CB34" s="2">
        <f t="shared" si="176"/>
        <v>-182.97181809736281</v>
      </c>
    </row>
    <row r="35" spans="2:150" s="1" customFormat="1">
      <c r="B35" s="1" t="s">
        <v>35</v>
      </c>
      <c r="C35" s="7">
        <f t="shared" ref="C35:N35" si="178">C32-C33-C34</f>
        <v>0.93000000000001004</v>
      </c>
      <c r="D35" s="7">
        <f t="shared" si="178"/>
        <v>46.6490000000001</v>
      </c>
      <c r="E35" s="7">
        <f t="shared" si="178"/>
        <v>49.491000000000035</v>
      </c>
      <c r="F35" s="16">
        <f t="shared" si="178"/>
        <v>74.004000000000005</v>
      </c>
      <c r="G35" s="16">
        <f t="shared" si="178"/>
        <v>88.943999999999889</v>
      </c>
      <c r="H35" s="16">
        <f t="shared" si="178"/>
        <v>117.37200000000013</v>
      </c>
      <c r="I35" s="16">
        <f t="shared" si="178"/>
        <v>97.537000000000006</v>
      </c>
      <c r="J35" s="16">
        <f t="shared" si="178"/>
        <v>45.516000000000076</v>
      </c>
      <c r="K35" s="16">
        <f t="shared" si="178"/>
        <v>38.426000000000052</v>
      </c>
      <c r="L35" s="16">
        <f t="shared" si="178"/>
        <v>40.490000000000009</v>
      </c>
      <c r="M35" s="16">
        <f t="shared" si="178"/>
        <v>42.237999999999964</v>
      </c>
      <c r="N35" s="16">
        <f t="shared" si="178"/>
        <v>20.728000000000215</v>
      </c>
      <c r="O35" s="16">
        <f t="shared" ref="O35" si="179">O32-O33-O34</f>
        <v>57.994710000000019</v>
      </c>
      <c r="P35" s="16">
        <f t="shared" ref="P35" si="180">P32-P33-P34</f>
        <v>59.454377100000002</v>
      </c>
      <c r="Q35" s="16">
        <f t="shared" ref="Q35" si="181">Q32-Q33-Q34</f>
        <v>62.177465871000066</v>
      </c>
      <c r="R35" s="16">
        <f t="shared" ref="R35:S35" si="182">R32-R33-R34</f>
        <v>69.865940529710002</v>
      </c>
      <c r="S35" s="16">
        <f t="shared" si="182"/>
        <v>225.0000000000002</v>
      </c>
      <c r="T35" s="16">
        <f t="shared" ref="T35:V35" si="183">T32-T33-T34</f>
        <v>14.420000000000137</v>
      </c>
      <c r="U35" s="16">
        <f t="shared" si="183"/>
        <v>115.29199999999985</v>
      </c>
      <c r="V35" s="16">
        <f t="shared" si="183"/>
        <v>130.41200000000003</v>
      </c>
      <c r="W35" s="16">
        <f t="shared" ref="W35" si="184">W32-W33-W34</f>
        <v>300.67600000000022</v>
      </c>
      <c r="X35" s="16">
        <f t="shared" ref="X35" si="185">X32-X33-X34</f>
        <v>428.19519999999989</v>
      </c>
      <c r="Y35" s="16">
        <f t="shared" ref="Y35:Z35" si="186">Y32-Y33-Y34</f>
        <v>378.51252000000011</v>
      </c>
      <c r="Z35" s="16">
        <f t="shared" si="186"/>
        <v>119.4296000000011</v>
      </c>
      <c r="AA35" s="16">
        <f t="shared" ref="AA35" si="187">AA32-AA33-AA34</f>
        <v>247.40000000000023</v>
      </c>
      <c r="AB35" s="16">
        <f t="shared" ref="AB35" si="188">AB32-AB33-AB34</f>
        <v>500.70000000000005</v>
      </c>
      <c r="AC35" s="16">
        <f t="shared" ref="AC35:AD35" si="189">AC32-AC33-AC34</f>
        <v>1020.3</v>
      </c>
      <c r="AD35" s="16">
        <f t="shared" si="189"/>
        <v>301.49999999999886</v>
      </c>
      <c r="AE35" s="16">
        <f t="shared" ref="AE35:AM35" si="190">AE32-AE33-AE34</f>
        <v>796.20000000000027</v>
      </c>
      <c r="AF35" s="16">
        <f t="shared" si="190"/>
        <v>1035.5</v>
      </c>
      <c r="AG35" s="16">
        <f t="shared" si="190"/>
        <v>857.8</v>
      </c>
      <c r="AH35" s="16">
        <f t="shared" si="190"/>
        <v>506.19999999999993</v>
      </c>
      <c r="AI35" s="16">
        <f t="shared" si="190"/>
        <v>2035.3000000000002</v>
      </c>
      <c r="AJ35" s="16">
        <f t="shared" si="190"/>
        <v>1593.9</v>
      </c>
      <c r="AK35" s="16">
        <f t="shared" si="190"/>
        <v>1660.9999999999993</v>
      </c>
      <c r="AL35" s="16">
        <f t="shared" ref="AL35" si="191">AL32-AL33-AL34</f>
        <v>550.79999999999984</v>
      </c>
      <c r="AM35" s="16">
        <f t="shared" si="190"/>
        <v>1979.7000000000003</v>
      </c>
      <c r="AN35" s="16">
        <f t="shared" ref="AN35:AO35" si="192">AN32-AN33-AN34</f>
        <v>1622.9000000000003</v>
      </c>
      <c r="AO35" s="16">
        <f t="shared" si="192"/>
        <v>1621.9000000000005</v>
      </c>
      <c r="AP35" s="16">
        <f t="shared" ref="AP35:AR35" si="193">AP32-AP33-AP34</f>
        <v>39.300000000000637</v>
      </c>
      <c r="AQ35" s="16">
        <f t="shared" ref="AQ35" si="194">AQ32-AQ33-AQ34</f>
        <v>1468.8999999999996</v>
      </c>
      <c r="AR35" s="16">
        <f t="shared" si="193"/>
        <v>1679.3000000000004</v>
      </c>
      <c r="AS35" s="16">
        <f t="shared" ref="AS35" si="195">AS32-AS33-AS34</f>
        <v>1909.0000000000011</v>
      </c>
      <c r="AT35" s="16">
        <f t="shared" ref="AT35:BB35" si="196">AT32-AT33-AT34</f>
        <v>1148.1999999999994</v>
      </c>
      <c r="AU35" s="16">
        <f t="shared" si="196"/>
        <v>2614.599999999999</v>
      </c>
      <c r="AV35" s="16">
        <f t="shared" si="196"/>
        <v>2513.7999999999993</v>
      </c>
      <c r="AW35" s="16">
        <f t="shared" si="196"/>
        <v>2702.900000000001</v>
      </c>
      <c r="AX35" s="16">
        <f t="shared" si="196"/>
        <v>2134.2000000000007</v>
      </c>
      <c r="AY35" s="16">
        <f t="shared" si="196"/>
        <v>3213.6999999999994</v>
      </c>
      <c r="AZ35" s="16">
        <f t="shared" si="196"/>
        <v>3211.1540799999993</v>
      </c>
      <c r="BA35" s="16">
        <f t="shared" si="196"/>
        <v>3107.9075099999991</v>
      </c>
      <c r="BB35" s="16">
        <f t="shared" si="196"/>
        <v>2484.7734000000009</v>
      </c>
      <c r="BD35" s="16">
        <f>BD32-BD33-BD34</f>
        <v>359.52200000000022</v>
      </c>
      <c r="BE35" s="16">
        <f>BE32-BE33-BE34</f>
        <v>30.480000000000203</v>
      </c>
      <c r="BF35" s="16">
        <f>BF32-BF33-BF34</f>
        <v>171.0739999999999</v>
      </c>
      <c r="BG35" s="16">
        <f>BG32-BG33-BG34</f>
        <v>349.36900000000026</v>
      </c>
      <c r="BH35" s="16">
        <f>BH32-BH33-BH34</f>
        <v>141.88200000000066</v>
      </c>
      <c r="BI35" s="16">
        <f t="shared" ref="BI35:BW35" si="197">BI32-BI33-BI34</f>
        <v>203.49249350071022</v>
      </c>
      <c r="BJ35" s="16">
        <f t="shared" si="197"/>
        <v>485.12399999999917</v>
      </c>
      <c r="BK35" s="16">
        <f t="shared" si="197"/>
        <v>1226.8133200000007</v>
      </c>
      <c r="BL35" s="16">
        <f t="shared" si="197"/>
        <v>2059.8999999999992</v>
      </c>
      <c r="BM35" s="16">
        <f t="shared" si="197"/>
        <v>3195.7</v>
      </c>
      <c r="BN35" s="16">
        <f t="shared" si="197"/>
        <v>5840.9999999999973</v>
      </c>
      <c r="BO35" s="16">
        <f t="shared" si="197"/>
        <v>5263.7999999999975</v>
      </c>
      <c r="BP35" s="16">
        <f t="shared" si="197"/>
        <v>6205.4000000000005</v>
      </c>
      <c r="BQ35" s="16">
        <f t="shared" si="197"/>
        <v>9965.4999999999927</v>
      </c>
      <c r="BR35" s="16">
        <f t="shared" si="197"/>
        <v>12017.534989999996</v>
      </c>
      <c r="BS35" s="16">
        <f t="shared" si="197"/>
        <v>14460.2723016</v>
      </c>
      <c r="BT35" s="16">
        <f t="shared" si="197"/>
        <v>16317.378287999996</v>
      </c>
      <c r="BU35" s="16">
        <f t="shared" si="197"/>
        <v>17399.601642196802</v>
      </c>
      <c r="BV35" s="16">
        <f t="shared" si="197"/>
        <v>18327.20752324591</v>
      </c>
      <c r="BW35" s="16">
        <f t="shared" si="197"/>
        <v>18510.47959847837</v>
      </c>
      <c r="BX35" s="16">
        <f t="shared" ref="BX35:CB35" si="198">BX32-BX33-BX34</f>
        <v>18695.584394463156</v>
      </c>
      <c r="BY35" s="16">
        <f t="shared" si="198"/>
        <v>18882.540238407793</v>
      </c>
      <c r="BZ35" s="16">
        <f t="shared" si="198"/>
        <v>19071.365640791864</v>
      </c>
      <c r="CA35" s="16">
        <f t="shared" si="198"/>
        <v>19262.079297199787</v>
      </c>
      <c r="CB35" s="16">
        <f t="shared" si="198"/>
        <v>19454.70009017178</v>
      </c>
    </row>
    <row r="36" spans="2:150">
      <c r="B36" t="s">
        <v>36</v>
      </c>
      <c r="C36" s="6">
        <v>-1.7589999999999999</v>
      </c>
      <c r="D36" s="6">
        <v>17.178000000000001</v>
      </c>
      <c r="E36" s="6">
        <v>17.669</v>
      </c>
      <c r="F36" s="2">
        <v>25.582999999999998</v>
      </c>
      <c r="G36" s="2">
        <v>35.829000000000001</v>
      </c>
      <c r="H36" s="2">
        <v>46.353999999999999</v>
      </c>
      <c r="I36" s="2">
        <v>38.241999999999997</v>
      </c>
      <c r="J36" s="2">
        <v>-37.854999999999997</v>
      </c>
      <c r="K36" s="2">
        <v>14.73</v>
      </c>
      <c r="L36" s="2">
        <v>14.154999999999999</v>
      </c>
      <c r="M36" s="2">
        <v>12.805999999999999</v>
      </c>
      <c r="N36" s="2">
        <v>-22.446999999999999</v>
      </c>
      <c r="O36" s="2">
        <f t="shared" ref="O36:R36" si="199">O35*0.3</f>
        <v>17.398413000000005</v>
      </c>
      <c r="P36" s="2">
        <f t="shared" si="199"/>
        <v>17.836313130000001</v>
      </c>
      <c r="Q36" s="2">
        <f t="shared" si="199"/>
        <v>18.653239761300018</v>
      </c>
      <c r="R36" s="2">
        <f t="shared" si="199"/>
        <v>20.959782158913001</v>
      </c>
      <c r="S36" s="2">
        <v>45.6</v>
      </c>
      <c r="T36" s="2">
        <v>-51.6</v>
      </c>
      <c r="U36" s="2">
        <v>13.4</v>
      </c>
      <c r="V36" s="2">
        <f>-73.6-U36-T36-S36</f>
        <v>-81</v>
      </c>
      <c r="W36" s="2">
        <v>9.5</v>
      </c>
      <c r="X36" s="2">
        <v>55.6</v>
      </c>
      <c r="Y36" s="2">
        <v>-24</v>
      </c>
      <c r="Z36" s="2">
        <f>15.2-Y36-X36-W36</f>
        <v>-25.9</v>
      </c>
      <c r="AA36" s="2">
        <v>55.6</v>
      </c>
      <c r="AB36" s="2">
        <v>230.3</v>
      </c>
      <c r="AC36" s="2">
        <v>347.1</v>
      </c>
      <c r="AD36" s="2">
        <f>195.3-AC36-AB36-AA36</f>
        <v>-437.70000000000005</v>
      </c>
      <c r="AE36" s="2">
        <v>86.8</v>
      </c>
      <c r="AF36" s="2">
        <v>315.39999999999998</v>
      </c>
      <c r="AG36" s="2">
        <v>71.5</v>
      </c>
      <c r="AH36" s="2">
        <v>-35.700000000000003</v>
      </c>
      <c r="AI36" s="2">
        <v>327.8</v>
      </c>
      <c r="AJ36" s="2">
        <v>240.8</v>
      </c>
      <c r="AK36" s="2">
        <v>211.9</v>
      </c>
      <c r="AL36" s="2">
        <v>-56.6</v>
      </c>
      <c r="AM36" s="2">
        <v>382.2</v>
      </c>
      <c r="AN36" s="2">
        <v>182.2</v>
      </c>
      <c r="AO36" s="2">
        <v>223.6</v>
      </c>
      <c r="AP36" s="2">
        <v>-16</v>
      </c>
      <c r="AQ36" s="2">
        <v>163.80000000000001</v>
      </c>
      <c r="AR36" s="2">
        <v>191.7</v>
      </c>
      <c r="AS36" s="2">
        <v>231.6</v>
      </c>
      <c r="AT36" s="2">
        <v>210.3</v>
      </c>
      <c r="AU36" s="2">
        <v>282.39999999999998</v>
      </c>
      <c r="AV36" s="2">
        <v>366.6</v>
      </c>
      <c r="AW36" s="2">
        <v>339.4</v>
      </c>
      <c r="AX36" s="2">
        <v>265.7</v>
      </c>
      <c r="AY36" s="2">
        <v>323.39999999999998</v>
      </c>
      <c r="AZ36" s="2">
        <f t="shared" ref="AZ36:BB36" si="200">AZ35*0.12</f>
        <v>385.33848959999989</v>
      </c>
      <c r="BA36" s="2">
        <f t="shared" si="200"/>
        <v>372.94890119999985</v>
      </c>
      <c r="BB36" s="2">
        <f t="shared" si="200"/>
        <v>298.17280800000009</v>
      </c>
      <c r="BD36" s="2">
        <v>133.39599999999999</v>
      </c>
      <c r="BE36" s="2">
        <v>13.327999999999999</v>
      </c>
      <c r="BF36" s="2">
        <f>SUM(C36:F36)</f>
        <v>58.670999999999999</v>
      </c>
      <c r="BG36" s="2">
        <f>SUM(G36:J36)</f>
        <v>82.57</v>
      </c>
      <c r="BH36" s="2">
        <f>SUM(K36:N36)</f>
        <v>19.243999999999996</v>
      </c>
      <c r="BI36" s="2">
        <f>SUM(O36:R36)</f>
        <v>74.847748050213028</v>
      </c>
      <c r="BJ36" s="15">
        <f t="shared" ref="BJ36" si="201">SUM(S36:V36)</f>
        <v>-73.599999999999994</v>
      </c>
      <c r="BK36" s="15">
        <f t="shared" ref="BK36" si="202">SUM(W36:Z36)</f>
        <v>15.199999999999996</v>
      </c>
      <c r="BL36" s="15">
        <f t="shared" ref="BL36" si="203">SUM(AA36:AD36)</f>
        <v>195.29999999999995</v>
      </c>
      <c r="BM36" s="15">
        <f>SUM(AE36:AH36)</f>
        <v>438</v>
      </c>
      <c r="BN36" s="2">
        <f>SUM(AI36:AL36)</f>
        <v>723.9</v>
      </c>
      <c r="BO36" s="2">
        <f>SUM(AM36:AP36)</f>
        <v>772</v>
      </c>
      <c r="BP36" s="2">
        <f>SUM(AQ36:AT36)</f>
        <v>797.40000000000009</v>
      </c>
      <c r="BQ36" s="2">
        <f>SUM(AU36:AX36)</f>
        <v>1254.0999999999999</v>
      </c>
      <c r="BR36" s="2">
        <f>SUM(AY36:BB36)</f>
        <v>1379.8601987999998</v>
      </c>
      <c r="BS36" s="2">
        <f>BS35*0.13</f>
        <v>1879.8353992080001</v>
      </c>
      <c r="BT36" s="2">
        <f t="shared" ref="BT36:CB36" si="204">BT35*0.13</f>
        <v>2121.2591774399998</v>
      </c>
      <c r="BU36" s="2">
        <f t="shared" si="204"/>
        <v>2261.9482134855843</v>
      </c>
      <c r="BV36" s="2">
        <f t="shared" si="204"/>
        <v>2382.5369780219685</v>
      </c>
      <c r="BW36" s="2">
        <f t="shared" si="204"/>
        <v>2406.3623478021882</v>
      </c>
      <c r="BX36" s="2">
        <f t="shared" si="204"/>
        <v>2430.4259712802104</v>
      </c>
      <c r="BY36" s="2">
        <f t="shared" si="204"/>
        <v>2454.7302309930133</v>
      </c>
      <c r="BZ36" s="2">
        <f t="shared" si="204"/>
        <v>2479.2775333029426</v>
      </c>
      <c r="CA36" s="2">
        <f t="shared" si="204"/>
        <v>2504.0703086359722</v>
      </c>
      <c r="CB36" s="2">
        <f t="shared" si="204"/>
        <v>2529.1110117223316</v>
      </c>
    </row>
    <row r="37" spans="2:150" s="1" customFormat="1">
      <c r="B37" s="1" t="s">
        <v>37</v>
      </c>
      <c r="C37" s="7">
        <f t="shared" ref="C37:N37" si="205">C35-C36</f>
        <v>2.6890000000000098</v>
      </c>
      <c r="D37" s="7">
        <f t="shared" si="205"/>
        <v>29.4710000000001</v>
      </c>
      <c r="E37" s="7">
        <f t="shared" si="205"/>
        <v>31.822000000000035</v>
      </c>
      <c r="F37" s="16">
        <f t="shared" si="205"/>
        <v>48.421000000000006</v>
      </c>
      <c r="G37" s="16">
        <f t="shared" si="205"/>
        <v>53.114999999999888</v>
      </c>
      <c r="H37" s="16">
        <f t="shared" si="205"/>
        <v>71.018000000000129</v>
      </c>
      <c r="I37" s="16">
        <f t="shared" si="205"/>
        <v>59.295000000000009</v>
      </c>
      <c r="J37" s="16">
        <f t="shared" si="205"/>
        <v>83.371000000000066</v>
      </c>
      <c r="K37" s="16">
        <f t="shared" si="205"/>
        <v>23.696000000000051</v>
      </c>
      <c r="L37" s="16">
        <f t="shared" si="205"/>
        <v>26.335000000000008</v>
      </c>
      <c r="M37" s="16">
        <f t="shared" si="205"/>
        <v>29.431999999999967</v>
      </c>
      <c r="N37" s="16">
        <f t="shared" si="205"/>
        <v>43.17500000000021</v>
      </c>
      <c r="O37" s="16">
        <f t="shared" ref="O37" si="206">O35-O36</f>
        <v>40.596297000000014</v>
      </c>
      <c r="P37" s="16">
        <f t="shared" ref="P37" si="207">P35-P36</f>
        <v>41.618063970000001</v>
      </c>
      <c r="Q37" s="16">
        <f t="shared" ref="Q37" si="208">Q35-Q36</f>
        <v>43.524226109700052</v>
      </c>
      <c r="R37" s="16">
        <f t="shared" ref="R37:S37" si="209">R35-R36</f>
        <v>48.906158370797002</v>
      </c>
      <c r="S37" s="16">
        <f t="shared" si="209"/>
        <v>179.4000000000002</v>
      </c>
      <c r="T37" s="16">
        <f t="shared" ref="T37:V37" si="210">T35-T36</f>
        <v>66.020000000000138</v>
      </c>
      <c r="U37" s="16">
        <f t="shared" si="210"/>
        <v>101.89199999999984</v>
      </c>
      <c r="V37" s="16">
        <f t="shared" si="210"/>
        <v>211.41200000000003</v>
      </c>
      <c r="W37" s="16">
        <f t="shared" ref="W37" si="211">W35-W36</f>
        <v>291.17600000000022</v>
      </c>
      <c r="X37" s="16">
        <f t="shared" ref="X37" si="212">X35-X36</f>
        <v>372.59519999999986</v>
      </c>
      <c r="Y37" s="16">
        <f t="shared" ref="Y37:Z37" si="213">Y35-Y36</f>
        <v>402.51252000000011</v>
      </c>
      <c r="Z37" s="16">
        <f t="shared" si="213"/>
        <v>145.32960000000111</v>
      </c>
      <c r="AA37" s="16">
        <f t="shared" ref="AA37" si="214">AA35-AA36</f>
        <v>191.80000000000024</v>
      </c>
      <c r="AB37" s="16">
        <f t="shared" ref="AB37" si="215">AB35-AB36</f>
        <v>270.40000000000003</v>
      </c>
      <c r="AC37" s="16">
        <f t="shared" ref="AC37:AD37" si="216">AC35-AC36</f>
        <v>673.19999999999993</v>
      </c>
      <c r="AD37" s="16">
        <f t="shared" si="216"/>
        <v>739.19999999999891</v>
      </c>
      <c r="AE37" s="16">
        <f t="shared" ref="AE37:AH37" si="217">AE35-AE36</f>
        <v>709.40000000000032</v>
      </c>
      <c r="AF37" s="16">
        <f t="shared" si="217"/>
        <v>720.1</v>
      </c>
      <c r="AG37" s="16">
        <f t="shared" si="217"/>
        <v>786.3</v>
      </c>
      <c r="AH37" s="16">
        <f t="shared" si="217"/>
        <v>541.9</v>
      </c>
      <c r="AI37" s="16">
        <f t="shared" ref="AI37:AM37" si="218">AI35-AI36</f>
        <v>1707.5000000000002</v>
      </c>
      <c r="AJ37" s="16">
        <f t="shared" si="218"/>
        <v>1353.1000000000001</v>
      </c>
      <c r="AK37" s="16">
        <f t="shared" si="218"/>
        <v>1449.0999999999992</v>
      </c>
      <c r="AL37" s="16">
        <f t="shared" ref="AL37" si="219">AL35-AL36</f>
        <v>607.39999999999986</v>
      </c>
      <c r="AM37" s="16">
        <f t="shared" si="218"/>
        <v>1597.5000000000002</v>
      </c>
      <c r="AN37" s="16">
        <f t="shared" ref="AN37:AO37" si="220">AN35-AN36</f>
        <v>1440.7000000000003</v>
      </c>
      <c r="AO37" s="16">
        <f t="shared" si="220"/>
        <v>1398.3000000000006</v>
      </c>
      <c r="AP37" s="16">
        <f t="shared" ref="AP37:AR37" si="221">AP35-AP36</f>
        <v>55.300000000000637</v>
      </c>
      <c r="AQ37" s="16">
        <f t="shared" ref="AQ37" si="222">AQ35-AQ36</f>
        <v>1305.0999999999997</v>
      </c>
      <c r="AR37" s="16">
        <f t="shared" si="221"/>
        <v>1487.6000000000004</v>
      </c>
      <c r="AS37" s="16">
        <f t="shared" ref="AS37" si="223">AS35-AS36</f>
        <v>1677.4000000000012</v>
      </c>
      <c r="AT37" s="16">
        <f t="shared" ref="AT37:AU37" si="224">AT35-AT36</f>
        <v>937.89999999999941</v>
      </c>
      <c r="AU37" s="16">
        <f t="shared" si="224"/>
        <v>2332.1999999999989</v>
      </c>
      <c r="AV37" s="16">
        <f t="shared" ref="AV37:AX37" si="225">AV35-AV36</f>
        <v>2147.1999999999994</v>
      </c>
      <c r="AW37" s="16">
        <f t="shared" si="225"/>
        <v>2363.5000000000009</v>
      </c>
      <c r="AX37" s="16">
        <f t="shared" si="225"/>
        <v>1868.5000000000007</v>
      </c>
      <c r="AY37" s="16">
        <f t="shared" ref="AY37:BB37" si="226">AY35-AY36</f>
        <v>2890.2999999999993</v>
      </c>
      <c r="AZ37" s="16">
        <f t="shared" si="226"/>
        <v>2825.8155903999996</v>
      </c>
      <c r="BA37" s="16">
        <f t="shared" si="226"/>
        <v>2734.9586087999992</v>
      </c>
      <c r="BB37" s="16">
        <f t="shared" si="226"/>
        <v>2186.6005920000007</v>
      </c>
      <c r="BD37" s="16">
        <f>BD35-BD36</f>
        <v>226.12600000000023</v>
      </c>
      <c r="BE37" s="16">
        <f>BE35-BE36</f>
        <v>17.152000000000204</v>
      </c>
      <c r="BF37" s="16">
        <f>BF35-BF36</f>
        <v>112.40299999999991</v>
      </c>
      <c r="BG37" s="16">
        <f>BG35-BG36</f>
        <v>266.79900000000026</v>
      </c>
      <c r="BH37" s="16">
        <f>BH35-BH36</f>
        <v>122.63800000000066</v>
      </c>
      <c r="BI37" s="16">
        <f t="shared" ref="BI37:BW37" si="227">BI35-BI36</f>
        <v>128.6447454504972</v>
      </c>
      <c r="BJ37" s="16">
        <f t="shared" si="227"/>
        <v>558.72399999999914</v>
      </c>
      <c r="BK37" s="16">
        <f t="shared" si="227"/>
        <v>1211.6133200000006</v>
      </c>
      <c r="BL37" s="16">
        <f t="shared" si="227"/>
        <v>1864.5999999999992</v>
      </c>
      <c r="BM37" s="16">
        <f t="shared" si="227"/>
        <v>2757.7</v>
      </c>
      <c r="BN37" s="16">
        <f t="shared" si="227"/>
        <v>5117.0999999999976</v>
      </c>
      <c r="BO37" s="16">
        <f t="shared" si="227"/>
        <v>4491.7999999999975</v>
      </c>
      <c r="BP37" s="16">
        <f t="shared" si="227"/>
        <v>5408</v>
      </c>
      <c r="BQ37" s="16">
        <f t="shared" si="227"/>
        <v>8711.3999999999924</v>
      </c>
      <c r="BR37" s="16">
        <f t="shared" si="227"/>
        <v>10637.674791199997</v>
      </c>
      <c r="BS37" s="16">
        <f t="shared" si="227"/>
        <v>12580.436902392001</v>
      </c>
      <c r="BT37" s="16">
        <f t="shared" si="227"/>
        <v>14196.119110559997</v>
      </c>
      <c r="BU37" s="16">
        <f t="shared" si="227"/>
        <v>15137.653428711217</v>
      </c>
      <c r="BV37" s="16">
        <f t="shared" si="227"/>
        <v>15944.670545223942</v>
      </c>
      <c r="BW37" s="16">
        <f t="shared" si="227"/>
        <v>16104.117250676183</v>
      </c>
      <c r="BX37" s="16">
        <f t="shared" ref="BX37:CB37" si="228">BX35-BX36</f>
        <v>16265.158423182946</v>
      </c>
      <c r="BY37" s="16">
        <f t="shared" si="228"/>
        <v>16427.810007414781</v>
      </c>
      <c r="BZ37" s="16">
        <f t="shared" si="228"/>
        <v>16592.088107488922</v>
      </c>
      <c r="CA37" s="16">
        <f t="shared" si="228"/>
        <v>16758.008988563815</v>
      </c>
      <c r="CB37" s="16">
        <f t="shared" si="228"/>
        <v>16925.589078449448</v>
      </c>
      <c r="CC37" s="1">
        <f>CB37*(1+$CE$46)</f>
        <v>16756.333187664954</v>
      </c>
      <c r="CD37" s="1">
        <f t="shared" ref="CD37:EO37" si="229">CC37*(1+$CE$46)</f>
        <v>16588.769855788305</v>
      </c>
      <c r="CE37" s="1">
        <f t="shared" si="229"/>
        <v>16422.882157230422</v>
      </c>
      <c r="CF37" s="1">
        <f t="shared" si="229"/>
        <v>16258.653335658119</v>
      </c>
      <c r="CG37" s="1">
        <f t="shared" si="229"/>
        <v>16096.066802301537</v>
      </c>
      <c r="CH37" s="1">
        <f t="shared" si="229"/>
        <v>15935.106134278521</v>
      </c>
      <c r="CI37" s="1">
        <f t="shared" si="229"/>
        <v>15775.755072935735</v>
      </c>
      <c r="CJ37" s="1">
        <f t="shared" si="229"/>
        <v>15617.997522206379</v>
      </c>
      <c r="CK37" s="1">
        <f t="shared" si="229"/>
        <v>15461.817546984315</v>
      </c>
      <c r="CL37" s="1">
        <f t="shared" si="229"/>
        <v>15307.199371514473</v>
      </c>
      <c r="CM37" s="1">
        <f t="shared" si="229"/>
        <v>15154.127377799328</v>
      </c>
      <c r="CN37" s="1">
        <f t="shared" si="229"/>
        <v>15002.586104021335</v>
      </c>
      <c r="CO37" s="1">
        <f t="shared" si="229"/>
        <v>14852.560242981121</v>
      </c>
      <c r="CP37" s="1">
        <f t="shared" si="229"/>
        <v>14704.03464055131</v>
      </c>
      <c r="CQ37" s="1">
        <f t="shared" si="229"/>
        <v>14556.994294145798</v>
      </c>
      <c r="CR37" s="1">
        <f t="shared" si="229"/>
        <v>14411.424351204339</v>
      </c>
      <c r="CS37" s="1">
        <f t="shared" si="229"/>
        <v>14267.310107692296</v>
      </c>
      <c r="CT37" s="1">
        <f t="shared" si="229"/>
        <v>14124.637006615372</v>
      </c>
      <c r="CU37" s="1">
        <f t="shared" si="229"/>
        <v>13983.390636549218</v>
      </c>
      <c r="CV37" s="1">
        <f t="shared" si="229"/>
        <v>13843.556730183725</v>
      </c>
      <c r="CW37" s="1">
        <f t="shared" si="229"/>
        <v>13705.121162881887</v>
      </c>
      <c r="CX37" s="1">
        <f t="shared" si="229"/>
        <v>13568.069951253068</v>
      </c>
      <c r="CY37" s="1">
        <f t="shared" si="229"/>
        <v>13432.389251740537</v>
      </c>
      <c r="CZ37" s="1">
        <f t="shared" si="229"/>
        <v>13298.065359223132</v>
      </c>
      <c r="DA37" s="1">
        <f t="shared" si="229"/>
        <v>13165.084705630901</v>
      </c>
      <c r="DB37" s="1">
        <f t="shared" si="229"/>
        <v>13033.433858574592</v>
      </c>
      <c r="DC37" s="1">
        <f t="shared" si="229"/>
        <v>12903.099519988846</v>
      </c>
      <c r="DD37" s="1">
        <f t="shared" si="229"/>
        <v>12774.068524788958</v>
      </c>
      <c r="DE37" s="1">
        <f t="shared" si="229"/>
        <v>12646.327839541069</v>
      </c>
      <c r="DF37" s="1">
        <f t="shared" si="229"/>
        <v>12519.864561145658</v>
      </c>
      <c r="DG37" s="1">
        <f t="shared" si="229"/>
        <v>12394.6659155342</v>
      </c>
      <c r="DH37" s="1">
        <f t="shared" si="229"/>
        <v>12270.719256378858</v>
      </c>
      <c r="DI37" s="1">
        <f t="shared" si="229"/>
        <v>12148.012063815069</v>
      </c>
      <c r="DJ37" s="1">
        <f t="shared" si="229"/>
        <v>12026.531943176919</v>
      </c>
      <c r="DK37" s="1">
        <f t="shared" si="229"/>
        <v>11906.266623745149</v>
      </c>
      <c r="DL37" s="1">
        <f t="shared" si="229"/>
        <v>11787.203957507698</v>
      </c>
      <c r="DM37" s="1">
        <f t="shared" si="229"/>
        <v>11669.331917932621</v>
      </c>
      <c r="DN37" s="1">
        <f t="shared" si="229"/>
        <v>11552.638598753294</v>
      </c>
      <c r="DO37" s="1">
        <f t="shared" si="229"/>
        <v>11437.112212765762</v>
      </c>
      <c r="DP37" s="1">
        <f t="shared" si="229"/>
        <v>11322.741090638105</v>
      </c>
      <c r="DQ37" s="1">
        <f t="shared" si="229"/>
        <v>11209.513679731723</v>
      </c>
      <c r="DR37" s="1">
        <f t="shared" si="229"/>
        <v>11097.418542934405</v>
      </c>
      <c r="DS37" s="1">
        <f t="shared" si="229"/>
        <v>10986.444357505061</v>
      </c>
      <c r="DT37" s="1">
        <f t="shared" si="229"/>
        <v>10876.579913930011</v>
      </c>
      <c r="DU37" s="1">
        <f t="shared" si="229"/>
        <v>10767.81411479071</v>
      </c>
      <c r="DV37" s="1">
        <f t="shared" si="229"/>
        <v>10660.135973642802</v>
      </c>
      <c r="DW37" s="1">
        <f t="shared" si="229"/>
        <v>10553.534613906373</v>
      </c>
      <c r="DX37" s="1">
        <f t="shared" si="229"/>
        <v>10447.999267767309</v>
      </c>
      <c r="DY37" s="1">
        <f t="shared" si="229"/>
        <v>10343.519275089635</v>
      </c>
      <c r="DZ37" s="1">
        <f t="shared" si="229"/>
        <v>10240.084082338739</v>
      </c>
      <c r="EA37" s="1">
        <f t="shared" si="229"/>
        <v>10137.683241515351</v>
      </c>
      <c r="EB37" s="1">
        <f t="shared" si="229"/>
        <v>10036.306409100198</v>
      </c>
      <c r="EC37" s="1">
        <f t="shared" si="229"/>
        <v>9935.9433450091965</v>
      </c>
      <c r="ED37" s="1">
        <f t="shared" si="229"/>
        <v>9836.5839115591043</v>
      </c>
      <c r="EE37" s="1">
        <f t="shared" si="229"/>
        <v>9738.2180724435129</v>
      </c>
      <c r="EF37" s="1">
        <f t="shared" si="229"/>
        <v>9640.8358917190781</v>
      </c>
      <c r="EG37" s="1">
        <f t="shared" si="229"/>
        <v>9544.4275328018866</v>
      </c>
      <c r="EH37" s="1">
        <f t="shared" si="229"/>
        <v>9448.9832574738684</v>
      </c>
      <c r="EI37" s="1">
        <f t="shared" si="229"/>
        <v>9354.4934248991303</v>
      </c>
      <c r="EJ37" s="1">
        <f t="shared" si="229"/>
        <v>9260.9484906501384</v>
      </c>
      <c r="EK37" s="1">
        <f t="shared" si="229"/>
        <v>9168.3390057436372</v>
      </c>
      <c r="EL37" s="1">
        <f t="shared" si="229"/>
        <v>9076.6556156862007</v>
      </c>
      <c r="EM37" s="1">
        <f t="shared" si="229"/>
        <v>8985.8890595293378</v>
      </c>
      <c r="EN37" s="1">
        <f t="shared" si="229"/>
        <v>8896.0301689340449</v>
      </c>
      <c r="EO37" s="1">
        <f t="shared" si="229"/>
        <v>8807.0698672447052</v>
      </c>
      <c r="EP37" s="1">
        <f t="shared" ref="EP37:ET37" si="230">EO37*(1+$CE$46)</f>
        <v>8718.999168572258</v>
      </c>
      <c r="EQ37" s="1">
        <f t="shared" si="230"/>
        <v>8631.8091768865361</v>
      </c>
      <c r="ER37" s="1">
        <f t="shared" si="230"/>
        <v>8545.4910851176701</v>
      </c>
      <c r="ES37" s="1">
        <f t="shared" si="230"/>
        <v>8460.0361742664936</v>
      </c>
      <c r="ET37" s="1">
        <f t="shared" si="230"/>
        <v>8375.4358125238286</v>
      </c>
    </row>
    <row r="38" spans="2:150">
      <c r="B38" t="s">
        <v>2</v>
      </c>
      <c r="C38">
        <v>428</v>
      </c>
      <c r="D38">
        <v>428</v>
      </c>
      <c r="E38">
        <v>428</v>
      </c>
      <c r="F38" s="2">
        <v>428</v>
      </c>
      <c r="G38" s="2">
        <v>428</v>
      </c>
      <c r="H38" s="2">
        <v>428</v>
      </c>
      <c r="I38" s="2">
        <v>428</v>
      </c>
      <c r="J38" s="2">
        <v>428</v>
      </c>
      <c r="K38" s="2">
        <v>428</v>
      </c>
      <c r="L38" s="2">
        <v>428</v>
      </c>
      <c r="M38" s="2">
        <v>428</v>
      </c>
      <c r="N38" s="2">
        <v>428</v>
      </c>
      <c r="O38" s="2">
        <v>428</v>
      </c>
      <c r="P38" s="2">
        <v>428</v>
      </c>
      <c r="Q38" s="2">
        <v>428</v>
      </c>
      <c r="R38" s="2">
        <v>428</v>
      </c>
      <c r="S38" s="2">
        <v>441</v>
      </c>
      <c r="T38" s="2">
        <v>441</v>
      </c>
      <c r="U38" s="2">
        <v>441</v>
      </c>
      <c r="V38" s="2">
        <v>441</v>
      </c>
      <c r="W38" s="2">
        <v>441</v>
      </c>
      <c r="X38" s="2">
        <v>441</v>
      </c>
      <c r="Y38" s="2">
        <v>441</v>
      </c>
      <c r="Z38" s="2">
        <v>441</v>
      </c>
      <c r="AA38" s="2">
        <v>441</v>
      </c>
      <c r="AB38" s="2">
        <v>441</v>
      </c>
      <c r="AC38" s="2">
        <v>441</v>
      </c>
      <c r="AD38" s="2">
        <v>441</v>
      </c>
      <c r="AE38" s="2">
        <v>441</v>
      </c>
      <c r="AF38" s="2">
        <v>441</v>
      </c>
      <c r="AG38" s="2">
        <v>442</v>
      </c>
      <c r="AH38" s="2">
        <v>442</v>
      </c>
      <c r="AI38" s="2">
        <v>442</v>
      </c>
      <c r="AJ38" s="2">
        <v>443.2</v>
      </c>
      <c r="AK38" s="2">
        <v>442.8</v>
      </c>
      <c r="AL38" s="2">
        <v>443.5</v>
      </c>
      <c r="AM38" s="2">
        <v>444.1</v>
      </c>
      <c r="AN38" s="2">
        <v>444.6</v>
      </c>
      <c r="AO38" s="2">
        <v>444.9</v>
      </c>
      <c r="AP38" s="2">
        <v>445.2</v>
      </c>
      <c r="AQ38" s="2">
        <v>445.2</v>
      </c>
      <c r="AR38" s="2">
        <v>443.9</v>
      </c>
      <c r="AS38" s="2">
        <v>441.5</v>
      </c>
      <c r="AT38" s="2">
        <v>435.9</v>
      </c>
      <c r="AU38" s="2">
        <v>432.1</v>
      </c>
      <c r="AV38" s="2">
        <v>432.1</v>
      </c>
      <c r="AW38" s="2">
        <v>427.5</v>
      </c>
      <c r="AX38" s="2">
        <f>427.7</f>
        <v>427.7</v>
      </c>
      <c r="AY38" s="2">
        <v>425.7</v>
      </c>
      <c r="AZ38" s="2">
        <v>425.7</v>
      </c>
      <c r="BA38" s="2">
        <v>425.7</v>
      </c>
      <c r="BB38" s="2">
        <v>425.7</v>
      </c>
      <c r="BD38" s="2">
        <v>428</v>
      </c>
      <c r="BE38" s="2">
        <v>428</v>
      </c>
      <c r="BF38" s="2">
        <v>428</v>
      </c>
      <c r="BG38" s="2">
        <v>428</v>
      </c>
      <c r="BH38" s="2">
        <v>428</v>
      </c>
      <c r="BI38" s="2">
        <v>428</v>
      </c>
      <c r="BJ38" s="2">
        <v>428</v>
      </c>
      <c r="BK38" s="2">
        <v>428</v>
      </c>
      <c r="BL38" s="2">
        <v>428</v>
      </c>
      <c r="BM38" s="2">
        <f>442</f>
        <v>442</v>
      </c>
      <c r="BN38" s="2">
        <f>AL38</f>
        <v>443.5</v>
      </c>
      <c r="BO38" s="2">
        <f>AP38</f>
        <v>445.2</v>
      </c>
      <c r="BP38" s="2">
        <f>AT38</f>
        <v>435.9</v>
      </c>
      <c r="BQ38" s="2">
        <f t="shared" ref="BQ38:CB38" si="231">427.7</f>
        <v>427.7</v>
      </c>
      <c r="BR38" s="2">
        <v>425.7</v>
      </c>
      <c r="BS38" s="2">
        <v>425.7</v>
      </c>
      <c r="BT38" s="2">
        <v>425.7</v>
      </c>
      <c r="BU38" s="2">
        <v>425.7</v>
      </c>
      <c r="BV38" s="2">
        <v>425.7</v>
      </c>
      <c r="BW38" s="2">
        <v>425.7</v>
      </c>
      <c r="BX38" s="2">
        <v>425.7</v>
      </c>
      <c r="BY38" s="2">
        <v>425.7</v>
      </c>
      <c r="BZ38" s="2">
        <v>425.7</v>
      </c>
      <c r="CA38" s="2">
        <v>425.7</v>
      </c>
      <c r="CB38" s="2">
        <v>425.7</v>
      </c>
    </row>
    <row r="39" spans="2:150" s="1" customFormat="1">
      <c r="B39" s="1" t="s">
        <v>38</v>
      </c>
      <c r="C39" s="8">
        <f t="shared" ref="C39:N39" si="232">C37/C38</f>
        <v>6.2827102803738547E-3</v>
      </c>
      <c r="D39" s="8">
        <f t="shared" si="232"/>
        <v>6.8857476635514253E-2</v>
      </c>
      <c r="E39" s="8">
        <f t="shared" si="232"/>
        <v>7.435046728971971E-2</v>
      </c>
      <c r="F39" s="8">
        <f t="shared" si="232"/>
        <v>0.11313317757009347</v>
      </c>
      <c r="G39" s="8">
        <f t="shared" si="232"/>
        <v>0.12410046728971937</v>
      </c>
      <c r="H39" s="8">
        <f t="shared" si="232"/>
        <v>0.16592990654205639</v>
      </c>
      <c r="I39" s="8">
        <f t="shared" si="232"/>
        <v>0.13853971962616823</v>
      </c>
      <c r="J39" s="8">
        <f t="shared" si="232"/>
        <v>0.19479205607476652</v>
      </c>
      <c r="K39" s="8">
        <f t="shared" si="232"/>
        <v>5.5364485981308532E-2</v>
      </c>
      <c r="L39" s="8">
        <f t="shared" si="232"/>
        <v>6.1530373831775717E-2</v>
      </c>
      <c r="M39" s="8">
        <f t="shared" si="232"/>
        <v>6.8766355140186836E-2</v>
      </c>
      <c r="N39" s="8">
        <f t="shared" si="232"/>
        <v>0.10087616822429955</v>
      </c>
      <c r="O39" s="8">
        <f t="shared" ref="O39" si="233">O37/O38</f>
        <v>9.4851161214953308E-2</v>
      </c>
      <c r="P39" s="8">
        <f t="shared" ref="P39" si="234">P37/P38</f>
        <v>9.7238467219626173E-2</v>
      </c>
      <c r="Q39" s="8">
        <f t="shared" ref="Q39" si="235">Q37/Q38</f>
        <v>0.10169211707873844</v>
      </c>
      <c r="R39" s="8">
        <f t="shared" ref="R39:S39" si="236">R37/R38</f>
        <v>0.11426672516541356</v>
      </c>
      <c r="S39" s="8">
        <f t="shared" si="236"/>
        <v>0.40680272108843585</v>
      </c>
      <c r="T39" s="8">
        <f t="shared" ref="T39:V39" si="237">T37/T38</f>
        <v>0.14970521541950144</v>
      </c>
      <c r="U39" s="8">
        <f t="shared" si="237"/>
        <v>0.2310476190476187</v>
      </c>
      <c r="V39" s="8">
        <f t="shared" si="237"/>
        <v>0.4793922902494332</v>
      </c>
      <c r="W39" s="8">
        <f t="shared" ref="W39" si="238">W37/W38</f>
        <v>0.66026303854875334</v>
      </c>
      <c r="X39" s="8">
        <f t="shared" ref="X39" si="239">X37/X38</f>
        <v>0.84488707482993164</v>
      </c>
      <c r="Y39" s="8">
        <f t="shared" ref="Y39:Z39" si="240">Y37/Y38</f>
        <v>0.91272680272108864</v>
      </c>
      <c r="Z39" s="8">
        <f t="shared" si="240"/>
        <v>0.32954557823129504</v>
      </c>
      <c r="AA39" s="8">
        <f t="shared" ref="AA39" si="241">AA37/AA38</f>
        <v>0.43492063492063548</v>
      </c>
      <c r="AB39" s="8">
        <f t="shared" ref="AB39" si="242">AB37/AB38</f>
        <v>0.6131519274376418</v>
      </c>
      <c r="AC39" s="8">
        <f t="shared" ref="AC39:AD39" si="243">AC37/AC38</f>
        <v>1.5265306122448978</v>
      </c>
      <c r="AD39" s="8">
        <f t="shared" si="243"/>
        <v>1.6761904761904738</v>
      </c>
      <c r="AE39" s="8">
        <f t="shared" ref="AE39:AF39" si="244">AE37/AE38</f>
        <v>1.6086167800453521</v>
      </c>
      <c r="AF39" s="8">
        <f t="shared" si="244"/>
        <v>1.6328798185941045</v>
      </c>
      <c r="AG39" s="8">
        <f t="shared" ref="AG39:AH39" si="245">AG37/AG38</f>
        <v>1.7789592760180994</v>
      </c>
      <c r="AH39" s="8">
        <f t="shared" si="245"/>
        <v>1.2260180995475112</v>
      </c>
      <c r="AI39" s="8">
        <f t="shared" ref="AI39:AM39" si="246">AI37/AI38</f>
        <v>3.8631221719457018</v>
      </c>
      <c r="AJ39" s="8">
        <f t="shared" si="246"/>
        <v>3.0530234657039714</v>
      </c>
      <c r="AK39" s="8">
        <f t="shared" si="246"/>
        <v>3.2725835591689232</v>
      </c>
      <c r="AL39" s="8">
        <f t="shared" ref="AL39" si="247">AL37/AL38</f>
        <v>1.3695603156708001</v>
      </c>
      <c r="AM39" s="8">
        <f t="shared" si="246"/>
        <v>3.5971628011709078</v>
      </c>
      <c r="AN39" s="8">
        <f t="shared" ref="AN39:AO39" si="248">AN37/AN38</f>
        <v>3.2404408457040041</v>
      </c>
      <c r="AO39" s="8">
        <f t="shared" si="248"/>
        <v>3.1429534726904937</v>
      </c>
      <c r="AP39" s="8">
        <f t="shared" ref="AP39:AR39" si="249">AP37/AP38</f>
        <v>0.12421383647798885</v>
      </c>
      <c r="AQ39" s="8">
        <f t="shared" ref="AQ39" si="250">AQ37/AQ38</f>
        <v>2.9314914645103318</v>
      </c>
      <c r="AR39" s="8">
        <f t="shared" si="249"/>
        <v>3.3512052264023438</v>
      </c>
      <c r="AS39" s="8">
        <f t="shared" ref="AS39" si="251">AS37/AS38</f>
        <v>3.7993204983012485</v>
      </c>
      <c r="AT39" s="8">
        <f t="shared" ref="AT39:AU39" si="252">AT37/AT38</f>
        <v>2.1516402844689138</v>
      </c>
      <c r="AU39" s="8">
        <f t="shared" si="252"/>
        <v>5.3973617218236489</v>
      </c>
      <c r="AV39" s="8">
        <f t="shared" ref="AV39:AX39" si="253">AV37/AV38</f>
        <v>4.9692200879426043</v>
      </c>
      <c r="AW39" s="8">
        <f t="shared" si="253"/>
        <v>5.5286549707602362</v>
      </c>
      <c r="AX39" s="8">
        <f t="shared" si="253"/>
        <v>4.3687163899929873</v>
      </c>
      <c r="AY39" s="8">
        <f t="shared" ref="AY39:BB39" si="254">AY37/AY38</f>
        <v>6.7895231383603463</v>
      </c>
      <c r="AZ39" s="8">
        <f t="shared" si="254"/>
        <v>6.6380446098191204</v>
      </c>
      <c r="BA39" s="8">
        <f t="shared" si="254"/>
        <v>6.4246150077519362</v>
      </c>
      <c r="BB39" s="8">
        <f t="shared" si="254"/>
        <v>5.136482480620157</v>
      </c>
      <c r="BD39" s="8">
        <f t="shared" ref="BD39:BX39" si="255">BD37/BD38</f>
        <v>0.52833177570093515</v>
      </c>
      <c r="BE39" s="8">
        <f t="shared" si="255"/>
        <v>4.0074766355140665E-2</v>
      </c>
      <c r="BF39" s="8">
        <f t="shared" si="255"/>
        <v>0.2626238317757007</v>
      </c>
      <c r="BG39" s="8">
        <f t="shared" si="255"/>
        <v>0.62336214953271085</v>
      </c>
      <c r="BH39" s="8">
        <f t="shared" si="255"/>
        <v>0.28653738317757166</v>
      </c>
      <c r="BI39" s="8">
        <f t="shared" si="255"/>
        <v>0.30057183516471309</v>
      </c>
      <c r="BJ39" s="8">
        <f t="shared" si="255"/>
        <v>1.305429906542054</v>
      </c>
      <c r="BK39" s="8">
        <f t="shared" si="255"/>
        <v>2.8308722429906554</v>
      </c>
      <c r="BL39" s="8">
        <f t="shared" si="255"/>
        <v>4.3565420560747645</v>
      </c>
      <c r="BM39" s="8">
        <f t="shared" si="255"/>
        <v>6.2391402714932118</v>
      </c>
      <c r="BN39" s="8">
        <f t="shared" si="255"/>
        <v>11.537993235625699</v>
      </c>
      <c r="BO39" s="8">
        <f t="shared" si="255"/>
        <v>10.089398023360282</v>
      </c>
      <c r="BP39" s="8">
        <f t="shared" si="255"/>
        <v>12.406515255792614</v>
      </c>
      <c r="BQ39" s="8">
        <f t="shared" si="255"/>
        <v>20.368014963759627</v>
      </c>
      <c r="BR39" s="8">
        <f t="shared" si="255"/>
        <v>24.988665236551558</v>
      </c>
      <c r="BS39" s="8">
        <f t="shared" si="255"/>
        <v>29.552353540972518</v>
      </c>
      <c r="BT39" s="8">
        <f t="shared" si="255"/>
        <v>33.347707565327688</v>
      </c>
      <c r="BU39" s="8">
        <f t="shared" si="255"/>
        <v>35.559439578837718</v>
      </c>
      <c r="BV39" s="8">
        <f t="shared" si="255"/>
        <v>37.455180984787276</v>
      </c>
      <c r="BW39" s="8">
        <f t="shared" si="255"/>
        <v>37.829732794635149</v>
      </c>
      <c r="BX39" s="8">
        <f t="shared" si="255"/>
        <v>38.208030122581505</v>
      </c>
      <c r="BY39" s="8">
        <f t="shared" ref="BY39:CB39" si="256">BY37/BY38</f>
        <v>38.590110423807332</v>
      </c>
      <c r="BZ39" s="8">
        <f t="shared" si="256"/>
        <v>38.97601152804539</v>
      </c>
      <c r="CA39" s="8">
        <f t="shared" si="256"/>
        <v>39.36577164332585</v>
      </c>
      <c r="CB39" s="8">
        <f t="shared" si="256"/>
        <v>39.759429359759096</v>
      </c>
    </row>
    <row r="41" spans="2:150">
      <c r="B41" s="1" t="s">
        <v>66</v>
      </c>
      <c r="C41" s="10">
        <f>C28/C26</f>
        <v>0.28029290178043892</v>
      </c>
      <c r="D41" s="10">
        <f t="shared" ref="D41:R41" si="257">D28/D26</f>
        <v>0.28867223005651921</v>
      </c>
      <c r="E41" s="10">
        <f t="shared" si="257"/>
        <v>0.27766661633509621</v>
      </c>
      <c r="F41" s="10">
        <f t="shared" si="257"/>
        <v>0.30168818018600613</v>
      </c>
      <c r="G41" s="10">
        <f t="shared" si="257"/>
        <v>0.31564953322168754</v>
      </c>
      <c r="H41" s="10">
        <f t="shared" si="257"/>
        <v>0.3174849131644345</v>
      </c>
      <c r="I41" s="10">
        <f t="shared" si="257"/>
        <v>0.32285204252493205</v>
      </c>
      <c r="J41" s="10">
        <f t="shared" si="257"/>
        <v>0.3168230140470174</v>
      </c>
      <c r="K41" s="10">
        <f t="shared" si="257"/>
        <v>0.33482823086981423</v>
      </c>
      <c r="L41" s="10">
        <f t="shared" si="257"/>
        <v>0.31795701814440863</v>
      </c>
      <c r="M41" s="10">
        <f t="shared" si="257"/>
        <v>0.32467303859108176</v>
      </c>
      <c r="N41" s="10">
        <f t="shared" si="257"/>
        <v>0.31478780891916075</v>
      </c>
      <c r="O41" s="10">
        <f t="shared" si="257"/>
        <v>0.33</v>
      </c>
      <c r="P41" s="10">
        <f t="shared" si="257"/>
        <v>0.33</v>
      </c>
      <c r="Q41" s="10">
        <f t="shared" si="257"/>
        <v>0.33</v>
      </c>
      <c r="R41" s="10">
        <f t="shared" si="257"/>
        <v>0.33</v>
      </c>
      <c r="S41" s="10">
        <f t="shared" ref="S41:AH41" si="258">S28/S26</f>
        <v>0.37182500568655702</v>
      </c>
      <c r="T41" s="10">
        <f t="shared" si="258"/>
        <v>0.31717350103376984</v>
      </c>
      <c r="U41" s="10">
        <f t="shared" si="258"/>
        <v>0.33208038360637715</v>
      </c>
      <c r="V41" s="10">
        <f t="shared" si="258"/>
        <v>0.24481995255885089</v>
      </c>
      <c r="W41" s="10">
        <f t="shared" si="258"/>
        <v>0.4067602480472064</v>
      </c>
      <c r="X41" s="10">
        <f t="shared" si="258"/>
        <v>0.41403239268033593</v>
      </c>
      <c r="Y41" s="10">
        <f t="shared" si="258"/>
        <v>0.39677608211139082</v>
      </c>
      <c r="Z41" s="10">
        <f t="shared" si="258"/>
        <v>0.2667817442510263</v>
      </c>
      <c r="AA41" s="10">
        <f t="shared" si="258"/>
        <v>0.36505197965051983</v>
      </c>
      <c r="AB41" s="10">
        <f t="shared" si="258"/>
        <v>0.38945764777574654</v>
      </c>
      <c r="AC41" s="10">
        <f t="shared" si="258"/>
        <v>0.41026080335046639</v>
      </c>
      <c r="AD41" s="10">
        <f t="shared" si="258"/>
        <v>0.36601426742271786</v>
      </c>
      <c r="AE41" s="10">
        <f t="shared" si="258"/>
        <v>0.3759188626907074</v>
      </c>
      <c r="AF41" s="10">
        <f t="shared" si="258"/>
        <v>0.40733571893298637</v>
      </c>
      <c r="AG41" s="10">
        <f t="shared" si="258"/>
        <v>0.39866293532338304</v>
      </c>
      <c r="AH41" s="10">
        <f t="shared" si="258"/>
        <v>0.37311860325105356</v>
      </c>
      <c r="AI41" s="10">
        <f t="shared" ref="AI41:AT41" si="259">AI28/AI26</f>
        <v>0.46000837520938026</v>
      </c>
      <c r="AJ41" s="10">
        <f t="shared" si="259"/>
        <v>0.45272276553433766</v>
      </c>
      <c r="AK41" s="10">
        <f t="shared" si="259"/>
        <v>0.43788334335538182</v>
      </c>
      <c r="AL41" s="10">
        <f t="shared" si="259"/>
        <v>0.3203533394731039</v>
      </c>
      <c r="AM41" s="10">
        <f t="shared" si="259"/>
        <v>0.45541320318259237</v>
      </c>
      <c r="AN41" s="10">
        <f t="shared" si="259"/>
        <v>0.41145029547935408</v>
      </c>
      <c r="AO41" s="10">
        <f t="shared" si="259"/>
        <v>0.39579337841929951</v>
      </c>
      <c r="AP41" s="10">
        <f t="shared" si="259"/>
        <v>0.31175099654869404</v>
      </c>
      <c r="AQ41" s="10">
        <f t="shared" si="259"/>
        <v>0.41143172210990619</v>
      </c>
      <c r="AR41" s="10">
        <f t="shared" si="259"/>
        <v>0.42917689592417524</v>
      </c>
      <c r="AS41" s="10">
        <f t="shared" si="259"/>
        <v>0.42273786248639034</v>
      </c>
      <c r="AT41" s="10">
        <f t="shared" si="259"/>
        <v>0.39911466352685443</v>
      </c>
      <c r="AU41" s="10">
        <f t="shared" ref="AU41:AX41" si="260">AU28/AU26</f>
        <v>0.46884871510287707</v>
      </c>
      <c r="AV41" s="10">
        <f t="shared" si="260"/>
        <v>0.45873651836431528</v>
      </c>
      <c r="AW41" s="10">
        <f t="shared" si="260"/>
        <v>0.47887467301800574</v>
      </c>
      <c r="AX41" s="10">
        <f t="shared" si="260"/>
        <v>0.43713463133752994</v>
      </c>
      <c r="AY41" s="10">
        <f t="shared" ref="AY41:BB41" si="261">AY28/AY26</f>
        <v>0.50078726713965926</v>
      </c>
      <c r="AZ41" s="10">
        <f t="shared" si="261"/>
        <v>0.48</v>
      </c>
      <c r="BA41" s="10">
        <f t="shared" si="261"/>
        <v>0.48</v>
      </c>
      <c r="BB41" s="10">
        <f t="shared" si="261"/>
        <v>0.46000000000000008</v>
      </c>
      <c r="BD41" s="10">
        <f t="shared" ref="BD41:BW41" si="262">BD28/BD26</f>
        <v>0.36344141520082063</v>
      </c>
      <c r="BE41" s="10">
        <f t="shared" si="262"/>
        <v>0.27246859624712066</v>
      </c>
      <c r="BF41" s="10">
        <f t="shared" si="262"/>
        <v>0.28742511821754951</v>
      </c>
      <c r="BG41" s="10">
        <f t="shared" si="262"/>
        <v>0.31825712633087339</v>
      </c>
      <c r="BH41" s="10">
        <f t="shared" si="262"/>
        <v>0.32274156646401203</v>
      </c>
      <c r="BI41" s="10">
        <f t="shared" si="262"/>
        <v>0.33</v>
      </c>
      <c r="BJ41" s="10">
        <f t="shared" si="262"/>
        <v>0.31297981513657785</v>
      </c>
      <c r="BK41" s="10">
        <f t="shared" si="262"/>
        <v>0.36893441507553748</v>
      </c>
      <c r="BL41" s="10">
        <f t="shared" si="262"/>
        <v>0.38274287982534483</v>
      </c>
      <c r="BM41" s="10">
        <f t="shared" si="262"/>
        <v>0.38875640204865552</v>
      </c>
      <c r="BN41" s="10">
        <f t="shared" si="262"/>
        <v>0.4163798966954671</v>
      </c>
      <c r="BO41" s="10">
        <f t="shared" si="262"/>
        <v>0.39370437379015416</v>
      </c>
      <c r="BP41" s="10">
        <f t="shared" si="262"/>
        <v>0.4153774986433712</v>
      </c>
      <c r="BQ41" s="10">
        <f t="shared" si="262"/>
        <v>0.46056373058057626</v>
      </c>
      <c r="BR41" s="10">
        <f t="shared" si="262"/>
        <v>0.48004427593398824</v>
      </c>
      <c r="BS41" s="10">
        <f t="shared" si="262"/>
        <v>0.5</v>
      </c>
      <c r="BT41" s="10">
        <f t="shared" si="262"/>
        <v>0.52</v>
      </c>
      <c r="BU41" s="10">
        <f t="shared" si="262"/>
        <v>0.53</v>
      </c>
      <c r="BV41" s="10">
        <f t="shared" si="262"/>
        <v>0.54</v>
      </c>
      <c r="BW41" s="10">
        <f t="shared" si="262"/>
        <v>0.54</v>
      </c>
      <c r="BX41" s="10">
        <f t="shared" ref="BX41:CB41" si="263">BX28/BX26</f>
        <v>0.54</v>
      </c>
      <c r="BY41" s="10">
        <f t="shared" si="263"/>
        <v>0.54</v>
      </c>
      <c r="BZ41" s="10">
        <f t="shared" si="263"/>
        <v>0.54</v>
      </c>
      <c r="CA41" s="10">
        <f t="shared" si="263"/>
        <v>0.54</v>
      </c>
      <c r="CB41" s="10">
        <f t="shared" si="263"/>
        <v>0.54</v>
      </c>
    </row>
    <row r="42" spans="2:150" s="1" customFormat="1">
      <c r="B42" s="1" t="s">
        <v>67</v>
      </c>
      <c r="C42" s="10">
        <f>C32/C26</f>
        <v>3.1077355485218686E-2</v>
      </c>
      <c r="D42" s="10">
        <f t="shared" ref="D42:R42" si="264">D32/D26</f>
        <v>5.3411722020026794E-2</v>
      </c>
      <c r="E42" s="10">
        <f t="shared" si="264"/>
        <v>5.1645616316108811E-2</v>
      </c>
      <c r="F42" s="10">
        <f t="shared" si="264"/>
        <v>7.0018634650238679E-2</v>
      </c>
      <c r="G42" s="10">
        <f t="shared" si="264"/>
        <v>7.6841071767411492E-2</v>
      </c>
      <c r="H42" s="10">
        <f t="shared" si="264"/>
        <v>9.6687051022562642E-2</v>
      </c>
      <c r="I42" s="10">
        <f t="shared" si="264"/>
        <v>7.8334392861805324E-2</v>
      </c>
      <c r="J42" s="10">
        <f t="shared" si="264"/>
        <v>4.3810044668114348E-2</v>
      </c>
      <c r="K42" s="10">
        <f t="shared" si="264"/>
        <v>6.1950418560715641E-2</v>
      </c>
      <c r="L42" s="10">
        <f t="shared" si="264"/>
        <v>4.5500865206536907E-2</v>
      </c>
      <c r="M42" s="10">
        <f t="shared" si="264"/>
        <v>4.2362463363352115E-2</v>
      </c>
      <c r="N42" s="10">
        <f t="shared" si="264"/>
        <v>3.2846989551552137E-2</v>
      </c>
      <c r="O42" s="10">
        <f t="shared" si="264"/>
        <v>5.000000000000001E-2</v>
      </c>
      <c r="P42" s="10">
        <f t="shared" si="264"/>
        <v>0.05</v>
      </c>
      <c r="Q42" s="10">
        <f t="shared" si="264"/>
        <v>5.0000000000000037E-2</v>
      </c>
      <c r="R42" s="10">
        <f t="shared" si="264"/>
        <v>0.05</v>
      </c>
      <c r="S42" s="10">
        <f t="shared" ref="S42:AH42" si="265">S32/S26</f>
        <v>9.7846690423838117E-2</v>
      </c>
      <c r="T42" s="10">
        <f t="shared" si="265"/>
        <v>4.6060188375832804E-2</v>
      </c>
      <c r="U42" s="10">
        <f t="shared" si="265"/>
        <v>6.9604395869555552E-2</v>
      </c>
      <c r="V42" s="10">
        <f t="shared" si="265"/>
        <v>7.4404428490017396E-2</v>
      </c>
      <c r="W42" s="10">
        <f t="shared" si="265"/>
        <v>0.12090518429034365</v>
      </c>
      <c r="X42" s="10">
        <f t="shared" si="265"/>
        <v>0.11816980148290565</v>
      </c>
      <c r="Y42" s="10">
        <f t="shared" si="265"/>
        <v>0.12013278718117143</v>
      </c>
      <c r="Z42" s="10">
        <f t="shared" si="265"/>
        <v>5.156073336732684E-2</v>
      </c>
      <c r="AA42" s="10">
        <f t="shared" si="265"/>
        <v>0.10152621101526216</v>
      </c>
      <c r="AB42" s="10">
        <f t="shared" si="265"/>
        <v>0.14344911639244365</v>
      </c>
      <c r="AC42" s="10">
        <f t="shared" si="265"/>
        <v>0.18814011041309728</v>
      </c>
      <c r="AD42" s="10">
        <f t="shared" si="265"/>
        <v>8.384854582037661E-2</v>
      </c>
      <c r="AE42" s="10">
        <f t="shared" si="265"/>
        <v>0.1661927877947296</v>
      </c>
      <c r="AF42" s="10">
        <f t="shared" si="265"/>
        <v>0.22086857514638908</v>
      </c>
      <c r="AG42" s="10">
        <f t="shared" si="265"/>
        <v>0.20385572139303479</v>
      </c>
      <c r="AH42" s="10">
        <f t="shared" si="265"/>
        <v>0.14358819987959059</v>
      </c>
      <c r="AI42" s="10">
        <f t="shared" ref="AI42:AT42" si="266">AI32/AI26</f>
        <v>0.27367392518146288</v>
      </c>
      <c r="AJ42" s="10">
        <f t="shared" si="266"/>
        <v>0.25166852815385871</v>
      </c>
      <c r="AK42" s="10">
        <f t="shared" si="266"/>
        <v>0.23455602325115246</v>
      </c>
      <c r="AL42" s="10">
        <f t="shared" si="266"/>
        <v>8.1939994552034531E-2</v>
      </c>
      <c r="AM42" s="10">
        <f t="shared" si="266"/>
        <v>0.25060372658176366</v>
      </c>
      <c r="AN42" s="10">
        <f t="shared" si="266"/>
        <v>0.19801508136660773</v>
      </c>
      <c r="AO42" s="10">
        <f t="shared" si="266"/>
        <v>0.19342384172807112</v>
      </c>
      <c r="AP42" s="10">
        <f t="shared" si="266"/>
        <v>7.0032220679818222E-2</v>
      </c>
      <c r="AQ42" s="10">
        <f t="shared" si="266"/>
        <v>0.21004717270109657</v>
      </c>
      <c r="AR42" s="10">
        <f t="shared" si="266"/>
        <v>0.22316270321107085</v>
      </c>
      <c r="AS42" s="10">
        <f t="shared" si="266"/>
        <v>0.2243581488462485</v>
      </c>
      <c r="AT42" s="10">
        <f t="shared" si="266"/>
        <v>0.16938003804003257</v>
      </c>
      <c r="AU42" s="10">
        <f t="shared" ref="AU42:AX42" si="267">AU32/AU26</f>
        <v>0.28093784683684786</v>
      </c>
      <c r="AV42" s="10">
        <f t="shared" si="267"/>
        <v>0.27227935099850403</v>
      </c>
      <c r="AW42" s="10">
        <f t="shared" si="267"/>
        <v>0.29613117957800245</v>
      </c>
      <c r="AX42" s="10">
        <f t="shared" si="267"/>
        <v>0.22180256673010304</v>
      </c>
      <c r="AY42" s="10">
        <f t="shared" ref="AY42:BB42" si="268">AY32/AY26</f>
        <v>0.31746784535417527</v>
      </c>
      <c r="AZ42" s="10">
        <f t="shared" si="268"/>
        <v>0.29785257685510802</v>
      </c>
      <c r="BA42" s="10">
        <f t="shared" si="268"/>
        <v>0.29910188525200743</v>
      </c>
      <c r="BB42" s="10">
        <f t="shared" si="268"/>
        <v>0.24190758188023714</v>
      </c>
      <c r="BD42" s="10">
        <f t="shared" ref="BD42:BW42" si="269">BD32/BD26</f>
        <v>0.11735339796796899</v>
      </c>
      <c r="BE42" s="10">
        <f t="shared" si="269"/>
        <v>1.3850954289523567E-2</v>
      </c>
      <c r="BF42" s="10">
        <f t="shared" si="269"/>
        <v>5.2198825848164897E-2</v>
      </c>
      <c r="BG42" s="10">
        <f t="shared" si="269"/>
        <v>7.3146805177289956E-2</v>
      </c>
      <c r="BH42" s="10">
        <f t="shared" si="269"/>
        <v>4.5109890669105875E-2</v>
      </c>
      <c r="BI42" s="10">
        <f t="shared" si="269"/>
        <v>5.0000000000000031E-2</v>
      </c>
      <c r="BJ42" s="10">
        <f t="shared" si="269"/>
        <v>7.1714541702031079E-2</v>
      </c>
      <c r="BK42" s="10">
        <f t="shared" si="269"/>
        <v>0.10165511000233846</v>
      </c>
      <c r="BL42" s="10">
        <f t="shared" si="269"/>
        <v>0.12910092289371833</v>
      </c>
      <c r="BM42" s="10">
        <f t="shared" si="269"/>
        <v>0.18332666453265045</v>
      </c>
      <c r="BN42" s="10">
        <f t="shared" si="269"/>
        <v>0.20860579286565689</v>
      </c>
      <c r="BO42" s="10">
        <f t="shared" si="269"/>
        <v>0.17816520958008064</v>
      </c>
      <c r="BP42" s="10">
        <f t="shared" si="269"/>
        <v>0.206204612241388</v>
      </c>
      <c r="BQ42" s="10">
        <f t="shared" si="269"/>
        <v>0.26710665651305471</v>
      </c>
      <c r="BR42" s="10">
        <f t="shared" si="269"/>
        <v>0.28897616616518085</v>
      </c>
      <c r="BS42" s="10">
        <f t="shared" si="269"/>
        <v>0.31957598617272048</v>
      </c>
      <c r="BT42" s="10">
        <f t="shared" si="269"/>
        <v>0.34204213267724726</v>
      </c>
      <c r="BU42" s="10">
        <f t="shared" si="269"/>
        <v>0.35344957662654064</v>
      </c>
      <c r="BV42" s="10">
        <f t="shared" si="269"/>
        <v>0.36449418862039806</v>
      </c>
      <c r="BW42" s="10">
        <f t="shared" si="269"/>
        <v>0.36449418862039806</v>
      </c>
      <c r="BX42" s="10">
        <f t="shared" ref="BX42:CB42" si="270">BX32/BX26</f>
        <v>0.36449418862039806</v>
      </c>
      <c r="BY42" s="10">
        <f t="shared" si="270"/>
        <v>0.36449418862039817</v>
      </c>
      <c r="BZ42" s="10">
        <f t="shared" si="270"/>
        <v>0.36449418862039806</v>
      </c>
      <c r="CA42" s="10">
        <f t="shared" si="270"/>
        <v>0.36449418862039812</v>
      </c>
      <c r="CB42" s="10">
        <f t="shared" si="270"/>
        <v>0.36449418862039806</v>
      </c>
    </row>
    <row r="43" spans="2:150" s="1" customFormat="1">
      <c r="B43" t="s">
        <v>69</v>
      </c>
      <c r="C43" s="9">
        <f>C29/C$26</f>
        <v>0.1162993512448228</v>
      </c>
      <c r="D43" s="9">
        <f t="shared" ref="D43:R43" si="271">D29/D$26</f>
        <v>0.10717598740195179</v>
      </c>
      <c r="E43" s="9">
        <f t="shared" si="271"/>
        <v>9.7855423015753173E-2</v>
      </c>
      <c r="F43" s="9">
        <f t="shared" si="271"/>
        <v>0.1089293159636837</v>
      </c>
      <c r="G43" s="9">
        <f t="shared" si="271"/>
        <v>0.10794361654970637</v>
      </c>
      <c r="H43" s="9">
        <f t="shared" si="271"/>
        <v>9.0094277335167602E-2</v>
      </c>
      <c r="I43" s="9">
        <f t="shared" si="271"/>
        <v>0.10334233932534524</v>
      </c>
      <c r="J43" s="9">
        <f t="shared" si="271"/>
        <v>0.13717731463271385</v>
      </c>
      <c r="K43" s="9">
        <f t="shared" si="271"/>
        <v>0.12375145331374603</v>
      </c>
      <c r="L43" s="9">
        <f t="shared" si="271"/>
        <v>0.11986424222378143</v>
      </c>
      <c r="M43" s="9">
        <f t="shared" si="271"/>
        <v>0.11971202659986022</v>
      </c>
      <c r="N43" s="9">
        <f t="shared" si="271"/>
        <v>0.12294517786931952</v>
      </c>
      <c r="O43" s="9">
        <f t="shared" si="271"/>
        <v>0.12</v>
      </c>
      <c r="P43" s="9">
        <f t="shared" si="271"/>
        <v>0.12</v>
      </c>
      <c r="Q43" s="9">
        <f t="shared" si="271"/>
        <v>0.12</v>
      </c>
      <c r="R43" s="9">
        <f t="shared" si="271"/>
        <v>0.12</v>
      </c>
      <c r="S43" s="9">
        <f t="shared" ref="S43:AH43" si="272">S29/S$26</f>
        <v>0.10285086056562287</v>
      </c>
      <c r="T43" s="9">
        <f t="shared" si="272"/>
        <v>9.845939581897542E-2</v>
      </c>
      <c r="U43" s="9">
        <f t="shared" si="272"/>
        <v>0.1047289915318651</v>
      </c>
      <c r="V43" s="9">
        <f t="shared" si="272"/>
        <v>0.17601689177670515</v>
      </c>
      <c r="W43" s="9">
        <f t="shared" si="272"/>
        <v>0.12944787993979268</v>
      </c>
      <c r="X43" s="9">
        <f t="shared" si="272"/>
        <v>0.13505991665283143</v>
      </c>
      <c r="Y43" s="9">
        <f t="shared" si="272"/>
        <v>0.10885187226170524</v>
      </c>
      <c r="Z43" s="9">
        <f t="shared" si="272"/>
        <v>0.2215039641373806</v>
      </c>
      <c r="AA43" s="9">
        <f t="shared" si="272"/>
        <v>0.13638575536385755</v>
      </c>
      <c r="AB43" s="9">
        <f t="shared" si="272"/>
        <v>0.1225269144830388</v>
      </c>
      <c r="AC43" s="9">
        <f t="shared" si="272"/>
        <v>0.10542547115933751</v>
      </c>
      <c r="AD43" s="9">
        <f t="shared" si="272"/>
        <v>0.16076458752515085</v>
      </c>
      <c r="AE43" s="9">
        <f t="shared" si="272"/>
        <v>8.7343966712898749E-2</v>
      </c>
      <c r="AF43" s="9">
        <f t="shared" si="272"/>
        <v>7.065712426805465E-2</v>
      </c>
      <c r="AG43" s="9">
        <f t="shared" si="272"/>
        <v>8.2027363184079605E-2</v>
      </c>
      <c r="AH43" s="9">
        <f t="shared" si="272"/>
        <v>0.11478025285972306</v>
      </c>
      <c r="AI43" s="9">
        <f t="shared" ref="AI43:AT43" si="273">AI29/AI$26</f>
        <v>7.1538246789503074E-2</v>
      </c>
      <c r="AJ43" s="9">
        <f t="shared" si="273"/>
        <v>8.2268653463728234E-2</v>
      </c>
      <c r="AK43" s="9">
        <f t="shared" si="273"/>
        <v>8.497360860559898E-2</v>
      </c>
      <c r="AL43" s="9">
        <f t="shared" si="273"/>
        <v>0.10282386208864619</v>
      </c>
      <c r="AM43" s="9">
        <f t="shared" si="273"/>
        <v>7.0667785149597095E-2</v>
      </c>
      <c r="AN43" s="9">
        <f t="shared" si="273"/>
        <v>7.2144640594220891E-2</v>
      </c>
      <c r="AO43" s="9">
        <f t="shared" si="273"/>
        <v>7.1666498435449685E-2</v>
      </c>
      <c r="AP43" s="9">
        <f t="shared" si="273"/>
        <v>0.1059079736630965</v>
      </c>
      <c r="AQ43" s="9">
        <f t="shared" si="273"/>
        <v>6.8051216075476317E-2</v>
      </c>
      <c r="AR43" s="9">
        <f t="shared" si="273"/>
        <v>7.6606451455302732E-2</v>
      </c>
      <c r="AS43" s="9">
        <f t="shared" si="273"/>
        <v>6.5408525235023468E-2</v>
      </c>
      <c r="AT43" s="9">
        <f t="shared" si="273"/>
        <v>0.10377230323340278</v>
      </c>
      <c r="AU43" s="9">
        <f t="shared" ref="AU43:AX43" si="274">AU29/AU$26</f>
        <v>6.982626141893622E-2</v>
      </c>
      <c r="AV43" s="9">
        <f t="shared" si="274"/>
        <v>6.7379410626301095E-2</v>
      </c>
      <c r="AW43" s="9">
        <f t="shared" si="274"/>
        <v>6.5437112583590334E-2</v>
      </c>
      <c r="AX43" s="9">
        <f t="shared" si="274"/>
        <v>9.5271556141121358E-2</v>
      </c>
      <c r="AY43" s="9">
        <f t="shared" ref="AY43:BB43" si="275">AY29/AY$26</f>
        <v>6.5295746860416587E-2</v>
      </c>
      <c r="AZ43" s="9">
        <f t="shared" si="275"/>
        <v>7.0000000000000007E-2</v>
      </c>
      <c r="BA43" s="9">
        <f t="shared" si="275"/>
        <v>7.0000000000000007E-2</v>
      </c>
      <c r="BB43" s="9">
        <f t="shared" si="275"/>
        <v>0.1</v>
      </c>
      <c r="BD43" s="9">
        <f t="shared" ref="BD43:BW43" si="276">BD29/BD$26</f>
        <v>0.12564466386671314</v>
      </c>
      <c r="BE43" s="9">
        <f t="shared" si="276"/>
        <v>0.13430067254373584</v>
      </c>
      <c r="BF43" s="9">
        <f t="shared" si="276"/>
        <v>0.10742606916989633</v>
      </c>
      <c r="BG43" s="9">
        <f t="shared" si="276"/>
        <v>0.11030407713034202</v>
      </c>
      <c r="BH43" s="9">
        <f t="shared" si="276"/>
        <v>0.12155581722634566</v>
      </c>
      <c r="BI43" s="9">
        <f t="shared" si="276"/>
        <v>0.11999999999999998</v>
      </c>
      <c r="BJ43" s="9">
        <f t="shared" si="276"/>
        <v>0.12283917484368646</v>
      </c>
      <c r="BK43" s="9">
        <f t="shared" si="276"/>
        <v>0.15001855063742303</v>
      </c>
      <c r="BL43" s="9">
        <f t="shared" si="276"/>
        <v>0.13161159075121565</v>
      </c>
      <c r="BM43" s="9">
        <f t="shared" si="276"/>
        <v>8.9164532650448144E-2</v>
      </c>
      <c r="BN43" s="9">
        <f t="shared" si="276"/>
        <v>8.5697642313105685E-2</v>
      </c>
      <c r="BO43" s="9">
        <f t="shared" si="276"/>
        <v>8.0042763698933442E-2</v>
      </c>
      <c r="BP43" s="9">
        <f t="shared" si="276"/>
        <v>7.8814943970489243E-2</v>
      </c>
      <c r="BQ43" s="9">
        <f t="shared" si="276"/>
        <v>7.4805966016168873E-2</v>
      </c>
      <c r="BR43" s="9">
        <f t="shared" si="276"/>
        <v>7.6336599082977546E-2</v>
      </c>
      <c r="BS43" s="9">
        <f t="shared" si="276"/>
        <v>7.0000000000000007E-2</v>
      </c>
      <c r="BT43" s="9">
        <f t="shared" si="276"/>
        <v>7.0000000000000007E-2</v>
      </c>
      <c r="BU43" s="9">
        <f t="shared" si="276"/>
        <v>7.0000000000000007E-2</v>
      </c>
      <c r="BV43" s="9">
        <f t="shared" si="276"/>
        <v>7.0000000000000007E-2</v>
      </c>
      <c r="BW43" s="9">
        <f t="shared" si="276"/>
        <v>7.0000000000000007E-2</v>
      </c>
      <c r="BX43" s="9">
        <f t="shared" ref="BX43:CB43" si="277">BX29/BX$26</f>
        <v>7.0000000000000007E-2</v>
      </c>
      <c r="BY43" s="9">
        <f t="shared" si="277"/>
        <v>7.0000000000000007E-2</v>
      </c>
      <c r="BZ43" s="9">
        <f t="shared" si="277"/>
        <v>7.0000000000000007E-2</v>
      </c>
      <c r="CA43" s="9">
        <f t="shared" si="277"/>
        <v>7.0000000000000007E-2</v>
      </c>
      <c r="CB43" s="9">
        <f t="shared" si="277"/>
        <v>7.0000000000000007E-2</v>
      </c>
    </row>
    <row r="44" spans="2:150" s="1" customFormat="1">
      <c r="B44" t="s">
        <v>120</v>
      </c>
      <c r="C44" s="9"/>
      <c r="D44" s="9"/>
      <c r="E44" s="9"/>
      <c r="F44" s="9"/>
      <c r="G44" s="9">
        <f>G30/C30-1</f>
        <v>0.19934764881761358</v>
      </c>
      <c r="H44" s="9">
        <f t="shared" ref="H44:AL44" si="278">H30/D30-1</f>
        <v>0.23684040976741194</v>
      </c>
      <c r="I44" s="9">
        <f t="shared" si="278"/>
        <v>0.2659933012350848</v>
      </c>
      <c r="J44" s="9">
        <f t="shared" si="278"/>
        <v>0.28277352030001635</v>
      </c>
      <c r="K44" s="9">
        <f t="shared" si="278"/>
        <v>0.29730758770737009</v>
      </c>
      <c r="L44" s="9">
        <f t="shared" si="278"/>
        <v>0.34622597280825129</v>
      </c>
      <c r="M44" s="9">
        <f t="shared" si="278"/>
        <v>0.42007225947268778</v>
      </c>
      <c r="N44" s="9">
        <f t="shared" si="278"/>
        <v>0.43681082970542451</v>
      </c>
      <c r="O44" s="9">
        <f t="shared" si="278"/>
        <v>0.32458457367266225</v>
      </c>
      <c r="P44" s="9">
        <f t="shared" si="278"/>
        <v>0.24590322518234764</v>
      </c>
      <c r="Q44" s="9">
        <f t="shared" si="278"/>
        <v>0.16067581886563964</v>
      </c>
      <c r="R44" s="9">
        <f t="shared" si="278"/>
        <v>0.19134689815326755</v>
      </c>
      <c r="S44" s="9">
        <f t="shared" si="278"/>
        <v>0.35632741775517518</v>
      </c>
      <c r="T44" s="9">
        <f t="shared" si="278"/>
        <v>0.38256958139871955</v>
      </c>
      <c r="U44" s="9">
        <f t="shared" si="278"/>
        <v>0.28009630818619558</v>
      </c>
      <c r="V44" s="9">
        <f t="shared" si="278"/>
        <v>-0.19105941977193741</v>
      </c>
      <c r="W44" s="9">
        <f t="shared" si="278"/>
        <v>0.16958381952547641</v>
      </c>
      <c r="X44" s="9">
        <f t="shared" si="278"/>
        <v>0.18757019842755507</v>
      </c>
      <c r="Y44" s="9">
        <f t="shared" si="278"/>
        <v>0.2813479623824453</v>
      </c>
      <c r="Z44" s="9">
        <f t="shared" si="278"/>
        <v>0.58864027538726327</v>
      </c>
      <c r="AA44" s="9">
        <f t="shared" si="278"/>
        <v>0.23977386099102094</v>
      </c>
      <c r="AB44" s="9">
        <f t="shared" si="278"/>
        <v>0.20807061790668357</v>
      </c>
      <c r="AC44" s="9">
        <f t="shared" si="278"/>
        <v>0.16146788990825689</v>
      </c>
      <c r="AD44" s="9">
        <f t="shared" si="278"/>
        <v>0.47778981581798519</v>
      </c>
      <c r="AE44" s="9">
        <f t="shared" si="278"/>
        <v>0.21727467811158796</v>
      </c>
      <c r="AF44" s="9">
        <f t="shared" si="278"/>
        <v>0.1351774530271399</v>
      </c>
      <c r="AG44" s="9">
        <f t="shared" si="278"/>
        <v>0.19483938915218535</v>
      </c>
      <c r="AH44" s="9">
        <f t="shared" si="278"/>
        <v>0.18988269794721413</v>
      </c>
      <c r="AI44" s="9">
        <f t="shared" si="278"/>
        <v>0.15733803437637728</v>
      </c>
      <c r="AJ44" s="9">
        <f t="shared" si="278"/>
        <v>0.23517241379310327</v>
      </c>
      <c r="AK44" s="9">
        <f t="shared" si="278"/>
        <v>0.24261789334508577</v>
      </c>
      <c r="AL44" s="9">
        <f t="shared" si="278"/>
        <v>0.32984185664407484</v>
      </c>
      <c r="AM44" s="9">
        <f t="shared" ref="AM44:AM45" si="279">AM30/AI30-1</f>
        <v>0.25190403655750182</v>
      </c>
      <c r="AN44" s="9">
        <f t="shared" ref="AN44:AN45" si="280">AN30/AJ30-1</f>
        <v>0.3340777963893542</v>
      </c>
      <c r="AO44" s="9">
        <f t="shared" ref="AO44:AO45" si="281">AO30/AK30-1</f>
        <v>0.17520837027841818</v>
      </c>
      <c r="AP44" s="9">
        <f t="shared" ref="AP44:AP45" si="282">AP30/AL30-1</f>
        <v>4.0772200772200673E-2</v>
      </c>
      <c r="AQ44" s="9">
        <f t="shared" ref="AQ44:AQ45" si="283">AQ30/AM30-1</f>
        <v>4.5323193916349647E-2</v>
      </c>
      <c r="AR44" s="9">
        <f t="shared" ref="AR44:AR45" si="284">AR30/AN30-1</f>
        <v>-8.2031249999999889E-2</v>
      </c>
      <c r="AS44" s="9">
        <f t="shared" ref="AS44:AS45" si="285">AS30/AO30-1</f>
        <v>-8.2993813188471099E-3</v>
      </c>
      <c r="AT44" s="9">
        <f t="shared" ref="AT44:AT45" si="286">AT30/AP30-1</f>
        <v>-8.9033981302866216E-4</v>
      </c>
      <c r="AU44" s="9">
        <f t="shared" ref="AU44:AU45" si="287">AU30/AQ30-1</f>
        <v>2.2115524516223006E-2</v>
      </c>
      <c r="AV44" s="9">
        <f t="shared" ref="AV44:AV45" si="288">AV30/AR30-1</f>
        <v>8.1003039513677821E-2</v>
      </c>
      <c r="AW44" s="9">
        <f t="shared" ref="AW44:AW45" si="289">AW30/AS30-1</f>
        <v>0.11853317102860617</v>
      </c>
      <c r="AX44" s="9">
        <f t="shared" ref="AX44:AX45" si="290">AX30/AT30-1</f>
        <v>0.15327491459973275</v>
      </c>
      <c r="AY44" s="9">
        <f t="shared" ref="AY44:AY45" si="291">AY30/AU30-1</f>
        <v>0.17124555160142352</v>
      </c>
      <c r="AZ44" s="9">
        <f t="shared" ref="AZ44:AZ45" si="292">AZ30/AV30-1</f>
        <v>0.12999999999999989</v>
      </c>
      <c r="BA44" s="9">
        <f t="shared" ref="BA44:BA45" si="293">BA30/AW30-1</f>
        <v>9.000000000000008E-2</v>
      </c>
      <c r="BB44" s="9">
        <f t="shared" ref="BB44:BB45" si="294">BB30/AX30-1</f>
        <v>5.0000000000000044E-2</v>
      </c>
      <c r="BD44" s="9"/>
      <c r="BE44" s="9">
        <f>BE30/BD30-1</f>
        <v>0.27013932587739764</v>
      </c>
      <c r="BF44" s="9">
        <f t="shared" ref="BF44:BW44" si="295">BF30/BE30-1</f>
        <v>0.15124556241793519</v>
      </c>
      <c r="BG44" s="9">
        <f t="shared" si="295"/>
        <v>0.24698958996116382</v>
      </c>
      <c r="BH44" s="9">
        <f t="shared" si="295"/>
        <v>0.37785319729590672</v>
      </c>
      <c r="BI44" s="9">
        <f t="shared" si="295"/>
        <v>0.22554929477910646</v>
      </c>
      <c r="BJ44" s="9">
        <f t="shared" si="295"/>
        <v>0.19575111525701705</v>
      </c>
      <c r="BK44" s="9">
        <f t="shared" si="295"/>
        <v>0.28111565481807688</v>
      </c>
      <c r="BL44" s="9">
        <f t="shared" si="295"/>
        <v>0.2645277459486004</v>
      </c>
      <c r="BM44" s="9">
        <f t="shared" si="295"/>
        <v>0.18414239482200645</v>
      </c>
      <c r="BN44" s="9">
        <f t="shared" si="295"/>
        <v>0.24290789833287785</v>
      </c>
      <c r="BO44" s="9">
        <f t="shared" si="295"/>
        <v>0.19218083468930036</v>
      </c>
      <c r="BP44" s="9">
        <f t="shared" si="295"/>
        <v>-1.2947729536316288E-2</v>
      </c>
      <c r="BQ44" s="9">
        <f t="shared" si="295"/>
        <v>9.3280514238732293E-2</v>
      </c>
      <c r="BR44" s="9">
        <f t="shared" si="295"/>
        <v>0.10861865044096541</v>
      </c>
      <c r="BS44" s="9">
        <f t="shared" si="295"/>
        <v>5.0000000000000044E-2</v>
      </c>
      <c r="BT44" s="9">
        <f t="shared" si="295"/>
        <v>3.0000000000000027E-2</v>
      </c>
      <c r="BU44" s="9">
        <f t="shared" si="295"/>
        <v>2.0000000000000018E-2</v>
      </c>
      <c r="BV44" s="9">
        <f t="shared" si="295"/>
        <v>1.0000000000000009E-2</v>
      </c>
      <c r="BW44" s="9">
        <f t="shared" si="295"/>
        <v>1.0000000000000009E-2</v>
      </c>
      <c r="BX44" s="9">
        <f t="shared" ref="BX44" si="296">BX30/BW30-1</f>
        <v>1.0000000000000009E-2</v>
      </c>
      <c r="BY44" s="9">
        <f t="shared" ref="BY44:BY45" si="297">BY30/BX30-1</f>
        <v>1.0000000000000009E-2</v>
      </c>
      <c r="BZ44" s="9">
        <f t="shared" ref="BZ44:BZ45" si="298">BZ30/BY30-1</f>
        <v>1.0000000000000009E-2</v>
      </c>
      <c r="CA44" s="9">
        <f t="shared" ref="CA44:CA45" si="299">CA30/BZ30-1</f>
        <v>1.0000000000000009E-2</v>
      </c>
      <c r="CB44" s="9">
        <f t="shared" ref="CB44:CB45" si="300">CB30/CA30-1</f>
        <v>1.0000000000000009E-2</v>
      </c>
    </row>
    <row r="45" spans="2:150" s="1" customFormat="1">
      <c r="B45" t="s">
        <v>121</v>
      </c>
      <c r="C45" s="9"/>
      <c r="D45" s="9"/>
      <c r="E45" s="9"/>
      <c r="F45" s="9"/>
      <c r="G45" s="9">
        <f t="shared" ref="G45:AL45" si="301">G31/C31-1</f>
        <v>0.26682681412319265</v>
      </c>
      <c r="H45" s="9">
        <f t="shared" si="301"/>
        <v>0.3688075905483077</v>
      </c>
      <c r="I45" s="9">
        <f t="shared" si="301"/>
        <v>0.68842916188786218</v>
      </c>
      <c r="J45" s="9">
        <f t="shared" si="301"/>
        <v>0.64360364267129233</v>
      </c>
      <c r="K45" s="9">
        <f t="shared" si="301"/>
        <v>0.63665474060822902</v>
      </c>
      <c r="L45" s="9">
        <f t="shared" si="301"/>
        <v>0.5980604525610691</v>
      </c>
      <c r="M45" s="9">
        <f t="shared" si="301"/>
        <v>0.42125499846201153</v>
      </c>
      <c r="N45" s="9">
        <f t="shared" si="301"/>
        <v>0.43849188026859109</v>
      </c>
      <c r="O45" s="9">
        <f t="shared" si="301"/>
        <v>0.24313961241242099</v>
      </c>
      <c r="P45" s="9">
        <f t="shared" si="301"/>
        <v>0.20862719746418357</v>
      </c>
      <c r="Q45" s="9">
        <f t="shared" si="301"/>
        <v>7.8671139487068498E-2</v>
      </c>
      <c r="R45" s="9">
        <f t="shared" si="301"/>
        <v>0.1856000440197354</v>
      </c>
      <c r="S45" s="9">
        <f t="shared" si="301"/>
        <v>0.70837817496324762</v>
      </c>
      <c r="T45" s="9">
        <f t="shared" si="301"/>
        <v>0.84532405753891249</v>
      </c>
      <c r="U45" s="9">
        <f t="shared" si="301"/>
        <v>0.80159844836811156</v>
      </c>
      <c r="V45" s="9">
        <f t="shared" si="301"/>
        <v>-2.4905608128700303</v>
      </c>
      <c r="W45" s="9">
        <f t="shared" si="301"/>
        <v>0.43232115285640749</v>
      </c>
      <c r="X45" s="9">
        <f t="shared" si="301"/>
        <v>0.45488546049555856</v>
      </c>
      <c r="Y45" s="9">
        <f t="shared" si="301"/>
        <v>0.59628770301624123</v>
      </c>
      <c r="Z45" s="9">
        <f t="shared" si="301"/>
        <v>0.57343020238713027</v>
      </c>
      <c r="AA45" s="9">
        <f t="shared" si="301"/>
        <v>-0.27416457060725841</v>
      </c>
      <c r="AB45" s="9">
        <f t="shared" si="301"/>
        <v>-0.27795629820051415</v>
      </c>
      <c r="AC45" s="9">
        <f t="shared" si="301"/>
        <v>-0.32209302325581401</v>
      </c>
      <c r="AD45" s="9">
        <f t="shared" si="301"/>
        <v>-1.8393799472295516</v>
      </c>
      <c r="AE45" s="9">
        <f t="shared" si="301"/>
        <v>0.24801980198019802</v>
      </c>
      <c r="AF45" s="9">
        <f t="shared" si="301"/>
        <v>0.23275478415665329</v>
      </c>
      <c r="AG45" s="9">
        <f t="shared" si="301"/>
        <v>0.1646655231560894</v>
      </c>
      <c r="AH45" s="9">
        <f t="shared" si="301"/>
        <v>8.2514734774066456E-2</v>
      </c>
      <c r="AI45" s="9">
        <f t="shared" si="301"/>
        <v>0.17889726299087672</v>
      </c>
      <c r="AJ45" s="9">
        <f t="shared" si="301"/>
        <v>0.20866425992779791</v>
      </c>
      <c r="AK45" s="9">
        <f t="shared" si="301"/>
        <v>0.18483063328424154</v>
      </c>
      <c r="AL45" s="9">
        <f t="shared" si="301"/>
        <v>0.44392014519056255</v>
      </c>
      <c r="AM45" s="9">
        <f t="shared" si="279"/>
        <v>0.338829071332436</v>
      </c>
      <c r="AN45" s="9">
        <f t="shared" si="280"/>
        <v>0.22252090800477897</v>
      </c>
      <c r="AO45" s="9">
        <f t="shared" si="281"/>
        <v>0.15972653822249838</v>
      </c>
      <c r="AP45" s="9">
        <f t="shared" si="282"/>
        <v>-1.3323278029160446E-2</v>
      </c>
      <c r="AQ45" s="9">
        <f t="shared" si="283"/>
        <v>7.5395828097510886E-3</v>
      </c>
      <c r="AR45" s="9">
        <f t="shared" si="284"/>
        <v>-1.9056926459809498E-2</v>
      </c>
      <c r="AS45" s="9">
        <f t="shared" si="285"/>
        <v>0.282422293676313</v>
      </c>
      <c r="AT45" s="9">
        <f t="shared" si="286"/>
        <v>0.11923566878980885</v>
      </c>
      <c r="AU45" s="9">
        <f t="shared" si="287"/>
        <v>7.7326016462959668E-3</v>
      </c>
      <c r="AV45" s="9">
        <f t="shared" si="288"/>
        <v>6.3511830635118338E-2</v>
      </c>
      <c r="AW45" s="9">
        <f t="shared" si="289"/>
        <v>-0.1278729628081906</v>
      </c>
      <c r="AX45" s="9">
        <f t="shared" si="290"/>
        <v>3.2779421807420883E-2</v>
      </c>
      <c r="AY45" s="9">
        <f t="shared" si="291"/>
        <v>4.3316831683168244E-2</v>
      </c>
      <c r="AZ45" s="9">
        <f t="shared" si="292"/>
        <v>3.0000000000000027E-2</v>
      </c>
      <c r="BA45" s="9">
        <f t="shared" si="293"/>
        <v>3.0000000000000027E-2</v>
      </c>
      <c r="BB45" s="9">
        <f t="shared" si="294"/>
        <v>3.0000000000000027E-2</v>
      </c>
      <c r="BD45" s="9"/>
      <c r="BE45" s="9">
        <f t="shared" ref="BE45:BW45" si="302">BE31/BD31-1</f>
        <v>-5.7114946784625475E-2</v>
      </c>
      <c r="BF45" s="9">
        <f t="shared" si="302"/>
        <v>0.50643762480469889</v>
      </c>
      <c r="BG45" s="9">
        <f t="shared" si="302"/>
        <v>0.49605936739119594</v>
      </c>
      <c r="BH45" s="9">
        <f t="shared" si="302"/>
        <v>0.51007447885193602</v>
      </c>
      <c r="BI45" s="9">
        <f t="shared" si="302"/>
        <v>0.17483508417028948</v>
      </c>
      <c r="BJ45" s="9">
        <f t="shared" si="302"/>
        <v>-9.9352118633088016E-2</v>
      </c>
      <c r="BK45" s="9">
        <f t="shared" si="302"/>
        <v>0.46241299303944294</v>
      </c>
      <c r="BL45" s="9">
        <f t="shared" si="302"/>
        <v>0.45073774393146149</v>
      </c>
      <c r="BM45" s="9">
        <f t="shared" si="302"/>
        <v>0.17694663167104108</v>
      </c>
      <c r="BN45" s="9">
        <f t="shared" si="302"/>
        <v>0.25590039026203293</v>
      </c>
      <c r="BO45" s="9">
        <f t="shared" si="302"/>
        <v>0.16373187333530637</v>
      </c>
      <c r="BP45" s="9">
        <f t="shared" si="302"/>
        <v>9.3712251255642309E-2</v>
      </c>
      <c r="BQ45" s="9">
        <f t="shared" si="302"/>
        <v>-1.0579550078474553E-2</v>
      </c>
      <c r="BR45" s="9">
        <f t="shared" si="302"/>
        <v>3.3160801363022019E-2</v>
      </c>
      <c r="BS45" s="9">
        <f t="shared" si="302"/>
        <v>2.0000000000000018E-2</v>
      </c>
      <c r="BT45" s="9">
        <f t="shared" si="302"/>
        <v>2.0000000000000018E-2</v>
      </c>
      <c r="BU45" s="9">
        <f t="shared" si="302"/>
        <v>1.0000000000000009E-2</v>
      </c>
      <c r="BV45" s="9">
        <f t="shared" si="302"/>
        <v>1.0000000000000009E-2</v>
      </c>
      <c r="BW45" s="9">
        <f t="shared" si="302"/>
        <v>1.0000000000000009E-2</v>
      </c>
      <c r="BX45" s="9">
        <f t="shared" ref="BX45" si="303">BX31/BW31-1</f>
        <v>1.0000000000000009E-2</v>
      </c>
      <c r="BY45" s="9">
        <f t="shared" si="297"/>
        <v>1.0000000000000009E-2</v>
      </c>
      <c r="BZ45" s="9">
        <f t="shared" si="298"/>
        <v>1.0000000000000009E-2</v>
      </c>
      <c r="CA45" s="9">
        <f t="shared" si="299"/>
        <v>1.0000000000000009E-2</v>
      </c>
      <c r="CB45" s="9">
        <f t="shared" si="300"/>
        <v>1.0000000000000009E-2</v>
      </c>
    </row>
    <row r="46" spans="2:150">
      <c r="CD46" t="s">
        <v>84</v>
      </c>
      <c r="CE46" s="9">
        <v>-0.01</v>
      </c>
    </row>
    <row r="47" spans="2:150" s="1" customFormat="1">
      <c r="B47" s="1" t="s">
        <v>65</v>
      </c>
      <c r="G47" s="10">
        <f t="shared" ref="G47:R47" si="304">G26/C26-1</f>
        <v>0.24036852966079758</v>
      </c>
      <c r="H47" s="10">
        <f t="shared" si="304"/>
        <v>0.25345249361307398</v>
      </c>
      <c r="I47" s="10">
        <f t="shared" si="304"/>
        <v>0.27435196596018629</v>
      </c>
      <c r="J47" s="10">
        <f t="shared" si="304"/>
        <v>0.2633510036333313</v>
      </c>
      <c r="K47" s="10">
        <f t="shared" si="304"/>
        <v>0.2385974526194623</v>
      </c>
      <c r="L47" s="10">
        <f t="shared" si="304"/>
        <v>0.22701090042054384</v>
      </c>
      <c r="M47" s="10">
        <f t="shared" si="304"/>
        <v>0.23337273454838536</v>
      </c>
      <c r="N47" s="10">
        <f t="shared" si="304"/>
        <v>0.22805860736781414</v>
      </c>
      <c r="O47" s="10">
        <f t="shared" si="304"/>
        <v>0.20496157657763581</v>
      </c>
      <c r="P47" s="10">
        <f t="shared" si="304"/>
        <v>0.17463187681112702</v>
      </c>
      <c r="Q47" s="10">
        <f t="shared" si="304"/>
        <v>0.14683134342524973</v>
      </c>
      <c r="R47" s="10">
        <f t="shared" si="304"/>
        <v>0.18172050854122612</v>
      </c>
      <c r="S47" s="10">
        <f t="shared" ref="S47" si="305">S26/O26-1</f>
        <v>0.39156766338179749</v>
      </c>
      <c r="T47" s="10">
        <f t="shared" ref="T47" si="306">T26/P26-1</f>
        <v>0.44205475410345207</v>
      </c>
      <c r="U47" s="10">
        <f t="shared" ref="U47" si="307">U26/Q26-1</f>
        <v>0.49673555377207057</v>
      </c>
      <c r="V47" s="10">
        <f t="shared" ref="V47" si="308">V26/R26-1</f>
        <v>0.52455457216186252</v>
      </c>
      <c r="W47" s="10">
        <f t="shared" ref="W47" si="309">W26/S26-1</f>
        <v>0.40339525362044126</v>
      </c>
      <c r="X47" s="10">
        <f t="shared" ref="X47" si="310">X26/T26-1</f>
        <v>0.40273058810016082</v>
      </c>
      <c r="Y47" s="10">
        <f t="shared" ref="Y47" si="311">Y26/U26-1</f>
        <v>0.34020015469728815</v>
      </c>
      <c r="Z47" s="10">
        <f t="shared" ref="Z47" si="312">Z26/V26-1</f>
        <v>0.27428972222086934</v>
      </c>
      <c r="AA47" s="10">
        <f t="shared" ref="AA47" si="313">AA26/W26-1</f>
        <v>0.22127267363898739</v>
      </c>
      <c r="AB47" s="10">
        <f t="shared" ref="AB47" si="314">AB26/X26-1</f>
        <v>0.25975742645299182</v>
      </c>
      <c r="AC47" s="10">
        <f t="shared" ref="AC47" si="315">AC26/Y26-1</f>
        <v>0.31357428208301785</v>
      </c>
      <c r="AD47" s="10">
        <f t="shared" ref="AD47" si="316">AD26/Z26-1</f>
        <v>0.30604203185834744</v>
      </c>
      <c r="AE47" s="10">
        <f t="shared" ref="AE47" si="317">AE26/AA26-1</f>
        <v>0.27582393275823924</v>
      </c>
      <c r="AF47" s="10">
        <f t="shared" ref="AF47" si="318">AF26/AB26-1</f>
        <v>0.24883201300020308</v>
      </c>
      <c r="AG47" s="10">
        <f t="shared" ref="AG47" si="319">AG26/AC26-1</f>
        <v>0.22444317532838376</v>
      </c>
      <c r="AH47" s="10">
        <f t="shared" ref="AH47" si="320">AH26/AD26-1</f>
        <v>0.21529175050301808</v>
      </c>
      <c r="AI47" s="10">
        <f t="shared" ref="AI47" si="321">AI26/AE26-1</f>
        <v>0.24202496532593609</v>
      </c>
      <c r="AJ47" s="10">
        <f t="shared" ref="AJ47" si="322">AJ26/AF26-1</f>
        <v>0.19417696811971386</v>
      </c>
      <c r="AK47" s="10">
        <f t="shared" ref="AK47" si="323">AK26/AG26-1</f>
        <v>0.16347947761194037</v>
      </c>
      <c r="AL47" s="10">
        <f t="shared" ref="AL47" si="324">AL26/AH26-1</f>
        <v>0.16034015653220957</v>
      </c>
      <c r="AM47" s="10">
        <f t="shared" ref="AM47" si="325">AM26/AI26-1</f>
        <v>9.8241206030150741E-2</v>
      </c>
      <c r="AN47" s="10">
        <f t="shared" ref="AN47" si="326">AN26/AJ26-1</f>
        <v>8.5578468495464355E-2</v>
      </c>
      <c r="AO47" s="10">
        <f t="shared" ref="AO47" si="327">AO26/AK26-1</f>
        <v>5.9076635264248001E-2</v>
      </c>
      <c r="AP47" s="10">
        <f t="shared" ref="AP47" si="328">AP26/AL26-1</f>
        <v>1.8523082510733868E-2</v>
      </c>
      <c r="AQ47" s="10">
        <f t="shared" ref="AQ47" si="329">AQ26/AM26-1</f>
        <v>3.7329367802943603E-2</v>
      </c>
      <c r="AR47" s="10">
        <f t="shared" ref="AR47" si="330">AR26/AN26-1</f>
        <v>2.7251853803590853E-2</v>
      </c>
      <c r="AS47" s="10">
        <f t="shared" ref="AS47" si="331">AS26/AO26-1</f>
        <v>7.7735439588169974E-2</v>
      </c>
      <c r="AT47" s="10">
        <f t="shared" ref="AT47" si="332">AT26/AP26-1</f>
        <v>0.12489652449663136</v>
      </c>
      <c r="AU47" s="10">
        <f t="shared" ref="AU47" si="333">AU26/AQ26-1</f>
        <v>0.14812228144336204</v>
      </c>
      <c r="AV47" s="10">
        <f t="shared" ref="AV47" si="334">AV26/AR26-1</f>
        <v>0.16757661255847456</v>
      </c>
      <c r="AW47" s="10">
        <f t="shared" ref="AW47" si="335">AW26/AS26-1</f>
        <v>0.15020429188569029</v>
      </c>
      <c r="AX47" s="10">
        <f t="shared" ref="AX47" si="336">AX26/AT26-1</f>
        <v>0.16005117290100546</v>
      </c>
      <c r="AY47" s="10">
        <f t="shared" ref="AY47" si="337">AY26/AU26-1</f>
        <v>0.12511739093315111</v>
      </c>
      <c r="AZ47" s="10">
        <f t="shared" ref="AZ47" si="338">AZ26/AV26-1</f>
        <v>0.15999999999999992</v>
      </c>
      <c r="BA47" s="10">
        <f t="shared" ref="BA47" si="339">BA26/AW26-1</f>
        <v>0.12999999999999989</v>
      </c>
      <c r="BB47" s="10">
        <f t="shared" ref="BB47" si="340">BB26/AX26-1</f>
        <v>6.0000000000000053E-2</v>
      </c>
      <c r="BC47" s="10"/>
      <c r="BD47" s="10">
        <f>BD26/AH26-1</f>
        <v>-0.51767354003612276</v>
      </c>
      <c r="BE47" s="10">
        <f t="shared" ref="BE47:BG47" si="341">BE26/BD26-1</f>
        <v>0.12628967879380015</v>
      </c>
      <c r="BF47" s="10">
        <f t="shared" si="341"/>
        <v>0.21203109094828276</v>
      </c>
      <c r="BG47" s="10">
        <f t="shared" si="341"/>
        <v>0.25833306283006174</v>
      </c>
      <c r="BH47" s="10">
        <f>BH26/BG26-1</f>
        <v>0.23159576184233854</v>
      </c>
      <c r="BI47" s="10">
        <f t="shared" ref="BI47:BX47" si="342">BI26/BH26-1</f>
        <v>0.17644768184607984</v>
      </c>
      <c r="BJ47" s="10">
        <f t="shared" si="342"/>
        <v>0.46601117890001431</v>
      </c>
      <c r="BK47" s="10">
        <f t="shared" si="342"/>
        <v>0.3508386486955255</v>
      </c>
      <c r="BL47" s="10">
        <f t="shared" si="342"/>
        <v>0.27599656870505318</v>
      </c>
      <c r="BM47" s="10">
        <f t="shared" si="342"/>
        <v>0.24005160265952163</v>
      </c>
      <c r="BN47" s="10">
        <f t="shared" si="342"/>
        <v>0.18832426376440448</v>
      </c>
      <c r="BO47" s="10">
        <f t="shared" si="342"/>
        <v>6.4548497235559887E-2</v>
      </c>
      <c r="BP47" s="10">
        <f t="shared" si="342"/>
        <v>6.6666455800301172E-2</v>
      </c>
      <c r="BQ47" s="10">
        <f t="shared" si="342"/>
        <v>0.15649713995961223</v>
      </c>
      <c r="BR47" s="10">
        <f t="shared" si="342"/>
        <v>0.11778930742623905</v>
      </c>
      <c r="BS47" s="10">
        <f t="shared" si="342"/>
        <v>8.0000000000000071E-2</v>
      </c>
      <c r="BT47" s="10">
        <f t="shared" si="342"/>
        <v>5.0000000000000044E-2</v>
      </c>
      <c r="BU47" s="10">
        <f t="shared" si="342"/>
        <v>3.0000000000000027E-2</v>
      </c>
      <c r="BV47" s="10">
        <f t="shared" si="342"/>
        <v>2.0000000000000018E-2</v>
      </c>
      <c r="BW47" s="10">
        <f t="shared" si="342"/>
        <v>1.0000000000000009E-2</v>
      </c>
      <c r="BX47" s="10">
        <f t="shared" si="342"/>
        <v>1.0000000000000009E-2</v>
      </c>
      <c r="BY47" s="10">
        <f t="shared" ref="BY47" si="343">BY26/BX26-1</f>
        <v>1.0000000000000009E-2</v>
      </c>
      <c r="BZ47" s="10">
        <f t="shared" ref="BZ47" si="344">BZ26/BY26-1</f>
        <v>1.0000000000000009E-2</v>
      </c>
      <c r="CA47" s="10">
        <f t="shared" ref="CA47" si="345">CA26/BZ26-1</f>
        <v>1.0000000000000009E-2</v>
      </c>
      <c r="CB47" s="10">
        <f t="shared" ref="CB47" si="346">CB26/CA26-1</f>
        <v>1.0000000000000009E-2</v>
      </c>
      <c r="CD47" t="s">
        <v>85</v>
      </c>
      <c r="CE47" s="9">
        <v>0.06</v>
      </c>
    </row>
    <row r="48" spans="2:150">
      <c r="B48" t="s">
        <v>68</v>
      </c>
      <c r="D48" s="10">
        <f>D26/C26-1</f>
        <v>4.4348368736699895E-2</v>
      </c>
      <c r="E48" s="10">
        <f t="shared" ref="E48:R48" si="347">E26/D26-1</f>
        <v>3.4250943544435364E-2</v>
      </c>
      <c r="F48" s="10">
        <f t="shared" si="347"/>
        <v>6.2595897464645001E-2</v>
      </c>
      <c r="G48" s="10">
        <f t="shared" si="347"/>
        <v>8.07152642461475E-2</v>
      </c>
      <c r="H48" s="10">
        <f t="shared" si="347"/>
        <v>5.5364624053904965E-2</v>
      </c>
      <c r="I48" s="10">
        <f t="shared" si="347"/>
        <v>5.1495553216299061E-2</v>
      </c>
      <c r="J48" s="10">
        <f t="shared" si="347"/>
        <v>5.3422939169821548E-2</v>
      </c>
      <c r="K48" s="10">
        <f t="shared" si="347"/>
        <v>5.9540198608768691E-2</v>
      </c>
      <c r="L48" s="10">
        <f t="shared" si="347"/>
        <v>4.5492137008471545E-2</v>
      </c>
      <c r="M48" s="10">
        <f t="shared" si="347"/>
        <v>5.6947371365129396E-2</v>
      </c>
      <c r="N48" s="10">
        <f t="shared" si="347"/>
        <v>4.8884146218695301E-2</v>
      </c>
      <c r="O48" s="10">
        <f t="shared" si="347"/>
        <v>3.9612621501393219E-2</v>
      </c>
      <c r="P48" s="10">
        <f t="shared" si="347"/>
        <v>1.9176391145624416E-2</v>
      </c>
      <c r="Q48" s="10">
        <f t="shared" si="347"/>
        <v>3.1932129343499538E-2</v>
      </c>
      <c r="R48" s="10">
        <f t="shared" si="347"/>
        <v>8.0793539325842545E-2</v>
      </c>
      <c r="S48" s="10">
        <f t="shared" ref="S48" si="348">S26/R26-1</f>
        <v>0.22422459123670935</v>
      </c>
      <c r="T48" s="10">
        <f t="shared" ref="T48" si="349">T26/S26-1</f>
        <v>5.6152854651603468E-2</v>
      </c>
      <c r="U48" s="10">
        <f t="shared" ref="U48" si="350">U26/T26-1</f>
        <v>7.1061624167240822E-2</v>
      </c>
      <c r="V48" s="10">
        <f t="shared" ref="V48" si="351">V26/U26-1</f>
        <v>0.10088166729895054</v>
      </c>
      <c r="W48" s="10">
        <f t="shared" ref="W48" si="352">W26/V26-1</f>
        <v>0.12693308070353182</v>
      </c>
      <c r="X48" s="10">
        <f t="shared" ref="X48" si="353">X26/W26-1</f>
        <v>5.5652647468472649E-2</v>
      </c>
      <c r="Y48" s="10">
        <f t="shared" ref="Y48" si="354">Y26/X26-1</f>
        <v>2.3316213802253571E-2</v>
      </c>
      <c r="Z48" s="10">
        <f t="shared" ref="Z48" si="355">Z26/Y26-1</f>
        <v>4.6740808903493969E-2</v>
      </c>
      <c r="AA48" s="10">
        <f t="shared" ref="AA48" si="356">AA26/Z26-1</f>
        <v>8.0046831174609201E-2</v>
      </c>
      <c r="AB48" s="10">
        <f t="shared" ref="AB48" si="357">AB26/AA26-1</f>
        <v>8.8918380889183801E-2</v>
      </c>
      <c r="AC48" s="10">
        <f t="shared" ref="AC48" si="358">AC26/AB26-1</f>
        <v>6.7032297379646666E-2</v>
      </c>
      <c r="AD48" s="10">
        <f t="shared" ref="AD48" si="359">AD26/AC26-1</f>
        <v>4.073862554730634E-2</v>
      </c>
      <c r="AE48" s="10">
        <f t="shared" ref="AE48" si="360">AE26/AD26-1</f>
        <v>5.5057618437900135E-2</v>
      </c>
      <c r="AF48" s="10">
        <f t="shared" ref="AF48" si="361">AF26/AE26-1</f>
        <v>6.5880721220527017E-2</v>
      </c>
      <c r="AG48" s="10">
        <f t="shared" ref="AG48" si="362">AG26/AF26-1</f>
        <v>4.6193884189980494E-2</v>
      </c>
      <c r="AH48" s="10">
        <f t="shared" ref="AH48" si="363">AH26/AG26-1</f>
        <v>3.2960199004975044E-2</v>
      </c>
      <c r="AI48" s="10">
        <f t="shared" ref="AI48" si="364">AI26/AH26-1</f>
        <v>7.8266104756171018E-2</v>
      </c>
      <c r="AJ48" s="10">
        <f t="shared" ref="AJ48" si="365">AJ26/AI26-1</f>
        <v>2.4818537130094853E-2</v>
      </c>
      <c r="AK48" s="10">
        <f t="shared" ref="AK48" si="366">AK26/AJ26-1</f>
        <v>1.9300444032798403E-2</v>
      </c>
      <c r="AL48" s="10">
        <f t="shared" ref="AL48" si="367">AL26/AK26-1</f>
        <v>3.0173047370882555E-2</v>
      </c>
      <c r="AM48" s="10">
        <f t="shared" ref="AM48" si="368">AM26/AL26-1</f>
        <v>2.0559583879210752E-2</v>
      </c>
      <c r="AN48" s="10">
        <f t="shared" ref="AN48" si="369">AN26/AM26-1</f>
        <v>1.3002364066193817E-2</v>
      </c>
      <c r="AO48" s="10">
        <f t="shared" ref="AO48" si="370">AO26/AN26-1</f>
        <v>-5.5833678372918527E-3</v>
      </c>
      <c r="AP48" s="10">
        <f t="shared" ref="AP48" si="371">AP26/AO26-1</f>
        <v>-9.2737458362773806E-3</v>
      </c>
      <c r="AQ48" s="10">
        <f t="shared" ref="AQ48" si="372">AQ26/AP26-1</f>
        <v>3.9403471682734503E-2</v>
      </c>
      <c r="AR48" s="10">
        <f t="shared" ref="AR48" si="373">AR26/AQ26-1</f>
        <v>3.1611836059548537E-3</v>
      </c>
      <c r="AS48" s="10">
        <f t="shared" ref="AS48" si="374">AS26/AR26-1</f>
        <v>4.3286553564667374E-2</v>
      </c>
      <c r="AT48" s="10">
        <f t="shared" ref="AT48" si="375">AT26/AS26-1</f>
        <v>3.407986700539678E-2</v>
      </c>
      <c r="AU48" s="10">
        <f t="shared" ref="AU48" si="376">AU26/AT26-1</f>
        <v>6.0864052169187666E-2</v>
      </c>
      <c r="AV48" s="10">
        <f t="shared" ref="AV48" si="377">AV26/AU26-1</f>
        <v>2.0159224792964947E-2</v>
      </c>
      <c r="AW48" s="10">
        <f t="shared" ref="AW48" si="378">AW26/AV26-1</f>
        <v>2.7763539171278495E-2</v>
      </c>
      <c r="AX48" s="10">
        <f t="shared" ref="AX48" si="379">AX26/AW26-1</f>
        <v>4.2932608629270952E-2</v>
      </c>
      <c r="AY48" s="10">
        <f t="shared" ref="AY48" si="380">AY26/AX26-1</f>
        <v>2.8917191236031758E-2</v>
      </c>
      <c r="AZ48" s="10">
        <f t="shared" ref="AZ48" si="381">AZ26/AY26-1</f>
        <v>5.1787760367264735E-2</v>
      </c>
      <c r="BA48" s="10">
        <f t="shared" ref="BA48" si="382">BA26/AZ26-1</f>
        <v>1.1834476409866568E-3</v>
      </c>
      <c r="BB48" s="10">
        <f t="shared" ref="BB48" si="383">BB26/BA26-1</f>
        <v>-2.1673836153073056E-2</v>
      </c>
      <c r="CD48" t="s">
        <v>86</v>
      </c>
      <c r="CE48" s="2">
        <f>NPV(CE47,BQ37:ET37)</f>
        <v>237154.54970478042</v>
      </c>
    </row>
    <row r="49" spans="2:83">
      <c r="B49" t="s">
        <v>36</v>
      </c>
      <c r="C49" s="9">
        <f>C36/C35</f>
        <v>-1.8913978494623451</v>
      </c>
      <c r="D49" s="9">
        <f t="shared" ref="D49:BW49" si="384">D36/D35</f>
        <v>0.36823940491757517</v>
      </c>
      <c r="E49" s="9">
        <f t="shared" si="384"/>
        <v>0.3570144066597965</v>
      </c>
      <c r="F49" s="9">
        <f t="shared" si="384"/>
        <v>0.34569752986325059</v>
      </c>
      <c r="G49" s="9">
        <f t="shared" si="384"/>
        <v>0.40282649757150618</v>
      </c>
      <c r="H49" s="9">
        <f t="shared" si="384"/>
        <v>0.39493235183859821</v>
      </c>
      <c r="I49" s="9">
        <f t="shared" si="384"/>
        <v>0.39207685288659683</v>
      </c>
      <c r="J49" s="9">
        <f t="shared" si="384"/>
        <v>-0.83168556112136249</v>
      </c>
      <c r="K49" s="9">
        <f t="shared" si="384"/>
        <v>0.38333420080154013</v>
      </c>
      <c r="L49" s="9">
        <f t="shared" si="384"/>
        <v>0.34959249197332665</v>
      </c>
      <c r="M49" s="9">
        <f t="shared" si="384"/>
        <v>0.30318670391590535</v>
      </c>
      <c r="N49" s="9">
        <f t="shared" si="384"/>
        <v>-1.0829313006561061</v>
      </c>
      <c r="O49" s="9">
        <f t="shared" si="384"/>
        <v>0.3</v>
      </c>
      <c r="P49" s="9">
        <f t="shared" si="384"/>
        <v>0.3</v>
      </c>
      <c r="Q49" s="9">
        <f t="shared" si="384"/>
        <v>0.3</v>
      </c>
      <c r="R49" s="9">
        <f t="shared" si="384"/>
        <v>0.3</v>
      </c>
      <c r="S49" s="9">
        <f t="shared" si="384"/>
        <v>0.2026666666666665</v>
      </c>
      <c r="T49" s="9">
        <f t="shared" si="384"/>
        <v>-3.5783633841885929</v>
      </c>
      <c r="U49" s="9">
        <f t="shared" si="384"/>
        <v>0.11622662457065554</v>
      </c>
      <c r="V49" s="9">
        <f t="shared" si="384"/>
        <v>-0.62110848694905363</v>
      </c>
      <c r="W49" s="9">
        <f t="shared" si="384"/>
        <v>3.1595471537468882E-2</v>
      </c>
      <c r="X49" s="9">
        <f t="shared" si="384"/>
        <v>0.12984732196904594</v>
      </c>
      <c r="Y49" s="9">
        <f t="shared" si="384"/>
        <v>-6.3406092881683265E-2</v>
      </c>
      <c r="Z49" s="9">
        <f t="shared" si="384"/>
        <v>-0.21686416097851588</v>
      </c>
      <c r="AA49" s="9">
        <f t="shared" si="384"/>
        <v>0.22473726758286156</v>
      </c>
      <c r="AB49" s="9">
        <f t="shared" si="384"/>
        <v>0.45995606151388052</v>
      </c>
      <c r="AC49" s="9">
        <f t="shared" si="384"/>
        <v>0.34019406057042051</v>
      </c>
      <c r="AD49" s="9">
        <f t="shared" si="384"/>
        <v>-1.4517412935323439</v>
      </c>
      <c r="AE49" s="9">
        <f t="shared" si="384"/>
        <v>0.10901783471489572</v>
      </c>
      <c r="AF49" s="9">
        <f t="shared" si="384"/>
        <v>0.30458715596330271</v>
      </c>
      <c r="AG49" s="9">
        <f t="shared" si="384"/>
        <v>8.3352762881790637E-2</v>
      </c>
      <c r="AH49" s="9">
        <f t="shared" si="384"/>
        <v>-7.0525483998419611E-2</v>
      </c>
      <c r="AI49" s="9">
        <f t="shared" si="384"/>
        <v>0.16105733798457228</v>
      </c>
      <c r="AJ49" s="9">
        <f t="shared" si="384"/>
        <v>0.15107597716293369</v>
      </c>
      <c r="AK49" s="9">
        <f t="shared" si="384"/>
        <v>0.12757375075255875</v>
      </c>
      <c r="AL49" s="9">
        <f t="shared" si="384"/>
        <v>-0.10275962236746554</v>
      </c>
      <c r="AM49" s="9">
        <f t="shared" si="384"/>
        <v>0.19305955447795117</v>
      </c>
      <c r="AN49" s="9">
        <f t="shared" si="384"/>
        <v>0.1122681619323433</v>
      </c>
      <c r="AO49" s="9">
        <f t="shared" si="384"/>
        <v>0.13786300018496819</v>
      </c>
      <c r="AP49" s="9">
        <f t="shared" si="384"/>
        <v>-0.40712468193383566</v>
      </c>
      <c r="AQ49" s="9">
        <f t="shared" si="384"/>
        <v>0.1115120157941317</v>
      </c>
      <c r="AR49" s="9">
        <f t="shared" si="384"/>
        <v>0.11415470731852555</v>
      </c>
      <c r="AS49" s="9">
        <f t="shared" si="384"/>
        <v>0.12132006286013612</v>
      </c>
      <c r="AT49" s="9">
        <f t="shared" si="384"/>
        <v>0.18315624455669755</v>
      </c>
      <c r="AU49" s="9">
        <f t="shared" ref="AU49:AX49" si="385">AU36/AU35</f>
        <v>0.10800887325021039</v>
      </c>
      <c r="AV49" s="9">
        <f t="shared" si="385"/>
        <v>0.14583499085050527</v>
      </c>
      <c r="AW49" s="9">
        <f t="shared" si="385"/>
        <v>0.12556883347515627</v>
      </c>
      <c r="AX49" s="9">
        <f t="shared" si="385"/>
        <v>0.12449629837878357</v>
      </c>
      <c r="AY49" s="9">
        <f t="shared" ref="AY49:BB49" si="386">AY36/AY35</f>
        <v>0.10063167065998695</v>
      </c>
      <c r="AZ49" s="9">
        <f t="shared" si="386"/>
        <v>0.12</v>
      </c>
      <c r="BA49" s="9">
        <f t="shared" si="386"/>
        <v>0.11999999999999998</v>
      </c>
      <c r="BB49" s="9">
        <f t="shared" si="386"/>
        <v>0.12</v>
      </c>
      <c r="BC49" s="9"/>
      <c r="BD49" s="9">
        <f t="shared" si="384"/>
        <v>0.37103709925957218</v>
      </c>
      <c r="BE49" s="9">
        <f t="shared" si="384"/>
        <v>0.43727034120734615</v>
      </c>
      <c r="BF49" s="9">
        <f t="shared" si="384"/>
        <v>0.34295684908285323</v>
      </c>
      <c r="BG49" s="9">
        <f t="shared" si="384"/>
        <v>0.23634037364505703</v>
      </c>
      <c r="BH49" s="9">
        <f t="shared" si="384"/>
        <v>0.13563383656841535</v>
      </c>
      <c r="BI49" s="9">
        <f t="shared" si="384"/>
        <v>0.36781576933181465</v>
      </c>
      <c r="BJ49" s="9">
        <f t="shared" si="384"/>
        <v>-0.1517137886396058</v>
      </c>
      <c r="BK49" s="9">
        <f t="shared" si="384"/>
        <v>1.2389823090606799E-2</v>
      </c>
      <c r="BL49" s="9">
        <f t="shared" si="384"/>
        <v>9.4810427690664612E-2</v>
      </c>
      <c r="BM49" s="9">
        <f t="shared" si="384"/>
        <v>0.1370591732640736</v>
      </c>
      <c r="BN49" s="9">
        <f t="shared" si="384"/>
        <v>0.12393425783256297</v>
      </c>
      <c r="BO49" s="9">
        <f t="shared" si="384"/>
        <v>0.14666210722291886</v>
      </c>
      <c r="BP49" s="9">
        <f t="shared" si="384"/>
        <v>0.12850098301479357</v>
      </c>
      <c r="BQ49" s="9">
        <f t="shared" si="384"/>
        <v>0.12584416236014256</v>
      </c>
      <c r="BR49" s="9">
        <f t="shared" si="384"/>
        <v>0.1148205684400508</v>
      </c>
      <c r="BS49" s="9">
        <f t="shared" si="384"/>
        <v>0.13</v>
      </c>
      <c r="BT49" s="9">
        <f t="shared" si="384"/>
        <v>0.13</v>
      </c>
      <c r="BU49" s="9">
        <f t="shared" si="384"/>
        <v>0.13</v>
      </c>
      <c r="BV49" s="9">
        <f t="shared" si="384"/>
        <v>0.13</v>
      </c>
      <c r="BW49" s="9">
        <f t="shared" si="384"/>
        <v>0.13</v>
      </c>
      <c r="BX49" s="9">
        <f t="shared" ref="BX49:CB49" si="387">BX36/BX35</f>
        <v>0.13</v>
      </c>
      <c r="BY49" s="9">
        <f t="shared" si="387"/>
        <v>0.13</v>
      </c>
      <c r="BZ49" s="9">
        <f t="shared" si="387"/>
        <v>0.13</v>
      </c>
      <c r="CA49" s="9">
        <f t="shared" si="387"/>
        <v>0.13</v>
      </c>
      <c r="CB49" s="9">
        <f t="shared" si="387"/>
        <v>0.13</v>
      </c>
      <c r="CD49" t="s">
        <v>64</v>
      </c>
      <c r="CE49" s="2">
        <f>Main!D8</f>
        <v>-6646</v>
      </c>
    </row>
    <row r="50" spans="2:83" s="1" customFormat="1">
      <c r="B50" s="1" t="s">
        <v>122</v>
      </c>
      <c r="C50" s="10">
        <f>C37/C26</f>
        <v>2.6260765790884709E-3</v>
      </c>
      <c r="D50" s="10">
        <f t="shared" ref="D50:BW50" si="388">D37/D26</f>
        <v>2.7559165566332481E-2</v>
      </c>
      <c r="E50" s="10">
        <f t="shared" si="388"/>
        <v>2.8772177913361615E-2</v>
      </c>
      <c r="F50" s="10">
        <f t="shared" si="388"/>
        <v>4.1201296767441269E-2</v>
      </c>
      <c r="G50" s="10">
        <f t="shared" si="388"/>
        <v>4.1819903959486218E-2</v>
      </c>
      <c r="H50" s="10">
        <f t="shared" si="388"/>
        <v>5.2982415042595363E-2</v>
      </c>
      <c r="I50" s="10">
        <f t="shared" si="388"/>
        <v>4.2070138892830594E-2</v>
      </c>
      <c r="J50" s="10">
        <f t="shared" si="388"/>
        <v>5.6152372690486112E-2</v>
      </c>
      <c r="K50" s="10">
        <f t="shared" si="388"/>
        <v>1.5062973220886558E-2</v>
      </c>
      <c r="L50" s="10">
        <f t="shared" si="388"/>
        <v>1.6012097083104825E-2</v>
      </c>
      <c r="M50" s="10">
        <f t="shared" si="388"/>
        <v>1.6930949086924114E-2</v>
      </c>
      <c r="N50" s="10">
        <f t="shared" si="388"/>
        <v>2.3679163378274956E-2</v>
      </c>
      <c r="O50" s="10">
        <f t="shared" si="388"/>
        <v>2.1416519128911782E-2</v>
      </c>
      <c r="P50" s="10">
        <f t="shared" si="388"/>
        <v>2.1542444508284551E-2</v>
      </c>
      <c r="Q50" s="10">
        <f t="shared" si="388"/>
        <v>2.1831975376053397E-2</v>
      </c>
      <c r="R50" s="10">
        <f t="shared" si="388"/>
        <v>2.2697748783246163E-2</v>
      </c>
      <c r="S50" s="10">
        <f t="shared" si="388"/>
        <v>6.8011221472439223E-2</v>
      </c>
      <c r="T50" s="10">
        <f t="shared" si="388"/>
        <v>2.3697737192740688E-2</v>
      </c>
      <c r="U50" s="10">
        <f t="shared" si="388"/>
        <v>3.4147348496527299E-2</v>
      </c>
      <c r="V50" s="10">
        <f t="shared" si="388"/>
        <v>6.4358497274812854E-2</v>
      </c>
      <c r="W50" s="10">
        <f t="shared" si="388"/>
        <v>7.865633532835789E-2</v>
      </c>
      <c r="X50" s="10">
        <f t="shared" si="388"/>
        <v>9.5344214962571117E-2</v>
      </c>
      <c r="Y50" s="10">
        <f t="shared" si="388"/>
        <v>0.10065297820072844</v>
      </c>
      <c r="Z50" s="10">
        <f t="shared" si="388"/>
        <v>3.4718596318485888E-2</v>
      </c>
      <c r="AA50" s="10">
        <f t="shared" si="388"/>
        <v>4.2424242424242475E-2</v>
      </c>
      <c r="AB50" s="10">
        <f t="shared" si="388"/>
        <v>5.4925858216534638E-2</v>
      </c>
      <c r="AC50" s="10">
        <f t="shared" si="388"/>
        <v>0.12815533980582522</v>
      </c>
      <c r="AD50" s="10">
        <f t="shared" si="388"/>
        <v>0.13521126760563359</v>
      </c>
      <c r="AE50" s="10">
        <f t="shared" si="388"/>
        <v>0.12298890429958396</v>
      </c>
      <c r="AF50" s="10">
        <f t="shared" si="388"/>
        <v>0.11712752114508784</v>
      </c>
      <c r="AG50" s="10">
        <f t="shared" si="388"/>
        <v>0.1222481343283582</v>
      </c>
      <c r="AH50" s="10">
        <f t="shared" si="388"/>
        <v>8.1562311860325101E-2</v>
      </c>
      <c r="AI50" s="10">
        <f t="shared" si="388"/>
        <v>0.23834450027917367</v>
      </c>
      <c r="AJ50" s="10">
        <f t="shared" si="388"/>
        <v>0.18430085265193824</v>
      </c>
      <c r="AK50" s="10">
        <f t="shared" si="388"/>
        <v>0.1936393398810716</v>
      </c>
      <c r="AL50" s="10">
        <f t="shared" si="388"/>
        <v>7.8787957402098749E-2</v>
      </c>
      <c r="AM50" s="10">
        <f t="shared" si="388"/>
        <v>0.2030427819720888</v>
      </c>
      <c r="AN50" s="10">
        <f t="shared" si="388"/>
        <v>0.18076310209407664</v>
      </c>
      <c r="AO50" s="10">
        <f t="shared" si="388"/>
        <v>0.17642828303219954</v>
      </c>
      <c r="AP50" s="10">
        <f t="shared" si="388"/>
        <v>7.0427019523440397E-3</v>
      </c>
      <c r="AQ50" s="10">
        <f t="shared" si="388"/>
        <v>0.15990933039269739</v>
      </c>
      <c r="AR50" s="10">
        <f t="shared" si="388"/>
        <v>0.18169604143001972</v>
      </c>
      <c r="AS50" s="10">
        <f t="shared" si="388"/>
        <v>0.19637777023309191</v>
      </c>
      <c r="AT50" s="10">
        <f t="shared" si="388"/>
        <v>0.10618376958608816</v>
      </c>
      <c r="AU50" s="10">
        <f t="shared" ref="AU50:AX50" si="389">AU37/AU26</f>
        <v>0.24889012208657038</v>
      </c>
      <c r="AV50" s="10">
        <f t="shared" si="389"/>
        <v>0.22461895745504373</v>
      </c>
      <c r="AW50" s="10">
        <f t="shared" si="389"/>
        <v>0.24056714199924686</v>
      </c>
      <c r="AX50" s="10">
        <f t="shared" si="389"/>
        <v>0.18235495047089256</v>
      </c>
      <c r="AY50" s="10">
        <f t="shared" ref="AY50:BB50" si="390">AY37/AY26</f>
        <v>0.27414918238039226</v>
      </c>
      <c r="AZ50" s="10">
        <f t="shared" si="390"/>
        <v>0.25483538781695531</v>
      </c>
      <c r="BA50" s="10">
        <f t="shared" si="390"/>
        <v>0.24635025526686344</v>
      </c>
      <c r="BB50" s="10">
        <f t="shared" si="390"/>
        <v>0.20132052380518342</v>
      </c>
      <c r="BD50" s="10">
        <f t="shared" si="388"/>
        <v>7.056344721939907E-2</v>
      </c>
      <c r="BE50" s="10">
        <f t="shared" si="388"/>
        <v>4.7521917101518256E-3</v>
      </c>
      <c r="BF50" s="10">
        <f t="shared" si="388"/>
        <v>2.569468669091898E-2</v>
      </c>
      <c r="BG50" s="10">
        <f t="shared" si="388"/>
        <v>4.8467878828395504E-2</v>
      </c>
      <c r="BH50" s="10">
        <f t="shared" si="388"/>
        <v>1.8089505275528082E-2</v>
      </c>
      <c r="BI50" s="10">
        <f t="shared" si="388"/>
        <v>1.6129505907978094E-2</v>
      </c>
      <c r="BJ50" s="10">
        <f t="shared" si="388"/>
        <v>4.7784721245814774E-2</v>
      </c>
      <c r="BK50" s="10">
        <f t="shared" si="388"/>
        <v>7.6710054526016591E-2</v>
      </c>
      <c r="BL50" s="10">
        <f t="shared" si="388"/>
        <v>9.2517614369355919E-2</v>
      </c>
      <c r="BM50" s="10">
        <f t="shared" si="388"/>
        <v>0.11034330985915493</v>
      </c>
      <c r="BN50" s="10">
        <f t="shared" si="388"/>
        <v>0.17230105122800393</v>
      </c>
      <c r="BO50" s="10">
        <f t="shared" si="388"/>
        <v>0.14207543111628429</v>
      </c>
      <c r="BP50" s="10">
        <f t="shared" si="388"/>
        <v>0.16036390270228595</v>
      </c>
      <c r="BQ50" s="10">
        <f t="shared" si="388"/>
        <v>0.22336407621362567</v>
      </c>
      <c r="BR50" s="10">
        <f t="shared" si="388"/>
        <v>0.24401253074536036</v>
      </c>
      <c r="BS50" s="10">
        <f t="shared" si="388"/>
        <v>0.26720057499074029</v>
      </c>
      <c r="BT50" s="10">
        <f t="shared" si="388"/>
        <v>0.28715871418223199</v>
      </c>
      <c r="BU50" s="10">
        <f t="shared" si="388"/>
        <v>0.29728548053941767</v>
      </c>
      <c r="BV50" s="10">
        <f t="shared" si="388"/>
        <v>0.30699444641648216</v>
      </c>
      <c r="BW50" s="10">
        <f t="shared" si="388"/>
        <v>0.30699444641648221</v>
      </c>
      <c r="BX50" s="10">
        <f t="shared" ref="BX50:CB50" si="391">BX37/BX26</f>
        <v>0.30699444641648221</v>
      </c>
      <c r="BY50" s="10">
        <f t="shared" si="391"/>
        <v>0.30699444641648233</v>
      </c>
      <c r="BZ50" s="10">
        <f t="shared" si="391"/>
        <v>0.30699444641648221</v>
      </c>
      <c r="CA50" s="10">
        <f t="shared" si="391"/>
        <v>0.30699444641648227</v>
      </c>
      <c r="CB50" s="10">
        <f t="shared" si="391"/>
        <v>0.30699444641648216</v>
      </c>
      <c r="CD50" t="s">
        <v>87</v>
      </c>
      <c r="CE50" s="2">
        <f>CE48+CE49</f>
        <v>230508.54970478042</v>
      </c>
    </row>
    <row r="51" spans="2:83">
      <c r="CD51" t="s">
        <v>88</v>
      </c>
      <c r="CE51" s="17">
        <f>CE50/BW38</f>
        <v>541.48120672957577</v>
      </c>
    </row>
    <row r="52" spans="2:83" s="1" customFormat="1">
      <c r="B52" s="1" t="s">
        <v>64</v>
      </c>
      <c r="BD52" s="7">
        <f>BD54-BD67</f>
        <v>397.81099999999992</v>
      </c>
      <c r="BE52" s="7">
        <f t="shared" ref="BE52:BH52" si="392">BE54-BE67</f>
        <v>348.07799999999997</v>
      </c>
      <c r="BF52" s="7">
        <f t="shared" si="392"/>
        <v>700.40499999999997</v>
      </c>
      <c r="BG52" s="7">
        <f t="shared" si="392"/>
        <v>722.75099999999986</v>
      </c>
      <c r="BH52" s="7">
        <f t="shared" si="392"/>
        <v>-60.690000000000055</v>
      </c>
      <c r="CD52" t="s">
        <v>89</v>
      </c>
      <c r="CE52" s="17">
        <f>Main!D3</f>
        <v>996.3</v>
      </c>
    </row>
    <row r="53" spans="2:83">
      <c r="CD53" s="1" t="s">
        <v>90</v>
      </c>
      <c r="CE53" s="10">
        <f>CE51/CE52-1</f>
        <v>-0.45650787239829793</v>
      </c>
    </row>
    <row r="54" spans="2:83">
      <c r="B54" t="s">
        <v>4</v>
      </c>
      <c r="J54" s="2">
        <f>1113.6+495</f>
        <v>1608.6</v>
      </c>
      <c r="K54" s="2"/>
      <c r="L54" s="2"/>
      <c r="M54" s="2"/>
      <c r="N54" s="2">
        <f>1809.33+501.38</f>
        <v>2310.71</v>
      </c>
      <c r="BD54" s="2">
        <f>508.053+289.758</f>
        <v>797.81099999999992</v>
      </c>
      <c r="BE54" s="2">
        <f>290.291+457.787</f>
        <v>748.07799999999997</v>
      </c>
      <c r="BF54" s="2">
        <v>1200.405</v>
      </c>
      <c r="BG54" s="2">
        <f>1113.6+495</f>
        <v>1608.6</v>
      </c>
      <c r="BH54" s="2">
        <f>1809.33+501.38</f>
        <v>2310.71</v>
      </c>
      <c r="CD54" t="s">
        <v>91</v>
      </c>
      <c r="CE54" s="5" t="s">
        <v>135</v>
      </c>
    </row>
    <row r="55" spans="2:83">
      <c r="B55" t="s">
        <v>39</v>
      </c>
      <c r="J55" s="2">
        <v>2166.1</v>
      </c>
      <c r="K55" s="2"/>
      <c r="L55" s="2"/>
      <c r="M55" s="2"/>
      <c r="N55" s="2">
        <v>2905.998</v>
      </c>
      <c r="BD55" s="2">
        <f>919.709+56.007</f>
        <v>975.71599999999989</v>
      </c>
      <c r="BE55" s="2">
        <f>1368.162+59.929</f>
        <v>1428.0910000000001</v>
      </c>
      <c r="BF55" s="2">
        <v>1706.421</v>
      </c>
      <c r="BG55" s="2">
        <v>2166.1</v>
      </c>
      <c r="BH55" s="2">
        <v>2905.998</v>
      </c>
    </row>
    <row r="56" spans="2:83">
      <c r="B56" t="s">
        <v>40</v>
      </c>
      <c r="J56" s="2">
        <v>152.4</v>
      </c>
      <c r="K56" s="2"/>
      <c r="L56" s="2"/>
      <c r="M56" s="2"/>
      <c r="N56" s="2">
        <v>215.12700000000001</v>
      </c>
      <c r="BD56" s="2">
        <v>57.33</v>
      </c>
      <c r="BE56" s="2">
        <v>64.622</v>
      </c>
      <c r="BF56" s="2">
        <v>151.93700000000001</v>
      </c>
      <c r="BG56" s="2">
        <v>152.4</v>
      </c>
      <c r="BH56" s="2">
        <v>215.12700000000001</v>
      </c>
    </row>
    <row r="57" spans="2:83">
      <c r="B57" t="s">
        <v>41</v>
      </c>
      <c r="J57" s="2">
        <v>2773.3</v>
      </c>
      <c r="K57" s="2"/>
      <c r="L57" s="2"/>
      <c r="M57" s="2"/>
      <c r="N57" s="2">
        <v>4312.8</v>
      </c>
      <c r="BD57" s="2">
        <v>1046.934</v>
      </c>
      <c r="BE57" s="2">
        <v>1506.008</v>
      </c>
      <c r="BF57" s="2">
        <v>2091.0709999999999</v>
      </c>
      <c r="BG57" s="2">
        <v>2773.3</v>
      </c>
      <c r="BH57" s="2">
        <v>4312.8</v>
      </c>
    </row>
    <row r="58" spans="2:83">
      <c r="B58" t="s">
        <v>42</v>
      </c>
      <c r="J58" s="2">
        <v>149.9</v>
      </c>
      <c r="K58" s="2"/>
      <c r="L58" s="2"/>
      <c r="M58" s="2"/>
      <c r="N58" s="2">
        <v>173.4</v>
      </c>
      <c r="BD58" s="2">
        <v>136.35300000000001</v>
      </c>
      <c r="BE58" s="2">
        <v>131.68100000000001</v>
      </c>
      <c r="BF58" s="2">
        <v>133.60499999999999</v>
      </c>
      <c r="BG58" s="2">
        <v>149.9</v>
      </c>
      <c r="BH58" s="2">
        <v>173.4</v>
      </c>
    </row>
    <row r="59" spans="2:83">
      <c r="B59" t="s">
        <v>43</v>
      </c>
      <c r="J59" s="2">
        <v>192.2</v>
      </c>
      <c r="K59" s="2"/>
      <c r="L59" s="2"/>
      <c r="M59" s="2"/>
      <c r="N59" s="2">
        <v>284.8</v>
      </c>
      <c r="BD59" s="2">
        <v>55.052</v>
      </c>
      <c r="BE59" s="2">
        <v>89.41</v>
      </c>
      <c r="BF59" s="2">
        <v>129.124</v>
      </c>
      <c r="BG59" s="2">
        <v>192.2</v>
      </c>
      <c r="BH59" s="2">
        <v>284.8</v>
      </c>
    </row>
    <row r="60" spans="2:83" s="1" customFormat="1">
      <c r="B60" s="1" t="s">
        <v>44</v>
      </c>
      <c r="J60" s="16">
        <f>SUM(J54:J59)</f>
        <v>7042.4999999999991</v>
      </c>
      <c r="K60" s="16"/>
      <c r="L60" s="16"/>
      <c r="M60" s="16"/>
      <c r="N60" s="16">
        <f>SUM(N54:N59)</f>
        <v>10202.835000000001</v>
      </c>
      <c r="BD60" s="16">
        <f>SUM(BD54:BD59)</f>
        <v>3069.1959999999999</v>
      </c>
      <c r="BE60" s="16">
        <f>SUM(BE54:BE59)</f>
        <v>3967.89</v>
      </c>
      <c r="BF60" s="16">
        <f>SUM(BF54:BF59)</f>
        <v>5412.5629999999992</v>
      </c>
      <c r="BG60" s="16">
        <f>SUM(BG54:BG59)</f>
        <v>7042.4999999999991</v>
      </c>
      <c r="BH60" s="16">
        <f>SUM(BH54:BH59)</f>
        <v>10202.835000000001</v>
      </c>
    </row>
    <row r="61" spans="2:83">
      <c r="J61" s="2"/>
      <c r="K61" s="2"/>
      <c r="L61" s="2"/>
      <c r="M61" s="2"/>
      <c r="N61" s="2"/>
      <c r="BD61" s="2"/>
      <c r="BE61" s="2"/>
      <c r="BF61" s="2"/>
      <c r="BG61" s="2"/>
      <c r="BH61" s="2"/>
    </row>
    <row r="62" spans="2:83">
      <c r="B62" t="s">
        <v>45</v>
      </c>
      <c r="J62" s="2">
        <v>2117.1999999999998</v>
      </c>
      <c r="K62" s="2"/>
      <c r="L62" s="2"/>
      <c r="M62" s="2"/>
      <c r="N62" s="2">
        <v>2789</v>
      </c>
      <c r="BD62" s="2">
        <v>935.03599999999994</v>
      </c>
      <c r="BE62" s="2">
        <v>1366.847</v>
      </c>
      <c r="BF62" s="2">
        <v>1775.9829999999999</v>
      </c>
      <c r="BG62" s="2">
        <v>2117.1999999999998</v>
      </c>
      <c r="BH62" s="2">
        <v>2789</v>
      </c>
    </row>
    <row r="63" spans="2:83">
      <c r="B63" t="s">
        <v>46</v>
      </c>
      <c r="J63" s="2">
        <v>201.6</v>
      </c>
      <c r="K63" s="2"/>
      <c r="L63" s="2"/>
      <c r="M63" s="2"/>
      <c r="N63" s="2">
        <v>253.5</v>
      </c>
      <c r="BD63" s="2">
        <v>86.992000000000004</v>
      </c>
      <c r="BE63" s="2">
        <v>86.468000000000004</v>
      </c>
      <c r="BF63" s="2">
        <v>108.435</v>
      </c>
      <c r="BG63" s="2">
        <v>201.6</v>
      </c>
      <c r="BH63" s="2">
        <v>253.5</v>
      </c>
    </row>
    <row r="64" spans="2:83">
      <c r="B64" t="s">
        <v>47</v>
      </c>
      <c r="J64" s="2">
        <v>69.8</v>
      </c>
      <c r="K64" s="2"/>
      <c r="L64" s="2"/>
      <c r="M64" s="2"/>
      <c r="N64" s="2">
        <v>140.4</v>
      </c>
      <c r="BD64" s="2">
        <v>54.231000000000002</v>
      </c>
      <c r="BE64" s="2">
        <v>53.139000000000003</v>
      </c>
      <c r="BF64" s="2">
        <v>54.018000000000001</v>
      </c>
      <c r="BG64" s="2">
        <v>69.8</v>
      </c>
      <c r="BH64" s="2">
        <v>140.4</v>
      </c>
    </row>
    <row r="65" spans="2:60">
      <c r="B65" t="s">
        <v>48</v>
      </c>
      <c r="J65" s="2">
        <v>274.60000000000002</v>
      </c>
      <c r="K65" s="2"/>
      <c r="L65" s="2"/>
      <c r="M65" s="2"/>
      <c r="N65" s="2">
        <v>346.7</v>
      </c>
      <c r="BD65" s="2">
        <v>148.79599999999999</v>
      </c>
      <c r="BE65" s="2">
        <v>169.47200000000001</v>
      </c>
      <c r="BF65" s="2">
        <v>215.767</v>
      </c>
      <c r="BG65" s="2">
        <v>274.60000000000002</v>
      </c>
      <c r="BH65" s="2">
        <v>346.7</v>
      </c>
    </row>
    <row r="66" spans="2:60">
      <c r="B66" t="s">
        <v>49</v>
      </c>
      <c r="J66" s="2">
        <v>1575.8</v>
      </c>
      <c r="K66" s="2"/>
      <c r="L66" s="2"/>
      <c r="M66" s="2"/>
      <c r="N66" s="2">
        <v>2026.3</v>
      </c>
      <c r="BD66" s="2">
        <v>739.62800000000004</v>
      </c>
      <c r="BE66" s="2">
        <v>1076.6220000000001</v>
      </c>
      <c r="BF66" s="2">
        <v>1345.59</v>
      </c>
      <c r="BG66" s="2">
        <v>1575.8</v>
      </c>
      <c r="BH66" s="2">
        <v>2026.3</v>
      </c>
    </row>
    <row r="67" spans="2:60">
      <c r="B67" t="s">
        <v>50</v>
      </c>
      <c r="J67" s="2">
        <v>885.84900000000005</v>
      </c>
      <c r="K67" s="2"/>
      <c r="L67" s="2"/>
      <c r="M67" s="2"/>
      <c r="N67" s="2">
        <v>2371.4</v>
      </c>
      <c r="BD67" s="2">
        <v>400</v>
      </c>
      <c r="BE67" s="2">
        <v>400</v>
      </c>
      <c r="BF67" s="2">
        <v>500</v>
      </c>
      <c r="BG67" s="2">
        <v>885.84900000000005</v>
      </c>
      <c r="BH67" s="2">
        <v>2371.4</v>
      </c>
    </row>
    <row r="68" spans="2:60">
      <c r="B68" t="s">
        <v>51</v>
      </c>
      <c r="J68" s="2">
        <v>59.957000000000001</v>
      </c>
      <c r="K68" s="2"/>
      <c r="L68" s="2"/>
      <c r="M68" s="2"/>
      <c r="N68" s="2">
        <v>52.1</v>
      </c>
      <c r="BD68" s="2">
        <v>61.703000000000003</v>
      </c>
      <c r="BE68" s="2">
        <v>70.668999999999997</v>
      </c>
      <c r="BF68" s="2">
        <v>79.209000000000003</v>
      </c>
      <c r="BG68" s="2">
        <v>59.957000000000001</v>
      </c>
      <c r="BH68" s="2">
        <v>52.1</v>
      </c>
    </row>
    <row r="69" spans="2:60" s="1" customFormat="1">
      <c r="B69" s="1" t="s">
        <v>52</v>
      </c>
      <c r="J69" s="16">
        <f>SUM(J62:J68)</f>
        <v>5184.8060000000005</v>
      </c>
      <c r="K69" s="16"/>
      <c r="L69" s="16"/>
      <c r="M69" s="16"/>
      <c r="N69" s="16">
        <f>SUM(N62:N68)</f>
        <v>7979.4</v>
      </c>
      <c r="BD69" s="16">
        <f>SUM(BD62:BD68)</f>
        <v>2426.386</v>
      </c>
      <c r="BE69" s="16">
        <f>SUM(BE62:BE68)</f>
        <v>3223.2169999999996</v>
      </c>
      <c r="BF69" s="16">
        <f>SUM(BF62:BF68)</f>
        <v>4079.0019999999995</v>
      </c>
      <c r="BG69" s="16">
        <f>SUM(BG62:BG68)</f>
        <v>5184.8060000000005</v>
      </c>
      <c r="BH69" s="16">
        <f>SUM(BH62:BH68)</f>
        <v>7979.4</v>
      </c>
    </row>
    <row r="70" spans="2:60" s="1" customFormat="1">
      <c r="B70" s="1" t="s">
        <v>53</v>
      </c>
      <c r="J70" s="16">
        <v>1857.7</v>
      </c>
      <c r="K70" s="16"/>
      <c r="L70" s="16"/>
      <c r="M70" s="16"/>
      <c r="N70" s="16">
        <f>2223.4</f>
        <v>2223.4</v>
      </c>
      <c r="BD70" s="16">
        <v>642.80999999999995</v>
      </c>
      <c r="BE70" s="16">
        <v>744.673</v>
      </c>
      <c r="BF70" s="16">
        <v>1333.5609999999999</v>
      </c>
      <c r="BG70" s="16">
        <v>1857.7</v>
      </c>
      <c r="BH70" s="16">
        <f>2223.4</f>
        <v>2223.4</v>
      </c>
    </row>
    <row r="71" spans="2:60" s="1" customFormat="1">
      <c r="B71" s="1" t="s">
        <v>54</v>
      </c>
      <c r="J71" s="16">
        <f>J69+J70</f>
        <v>7042.5060000000003</v>
      </c>
      <c r="K71" s="16"/>
      <c r="L71" s="16"/>
      <c r="M71" s="16"/>
      <c r="N71" s="16">
        <f>N69+N70</f>
        <v>10202.799999999999</v>
      </c>
      <c r="BD71" s="16">
        <f>BD69+BD70</f>
        <v>3069.1959999999999</v>
      </c>
      <c r="BE71" s="16">
        <f>BE69+BE70</f>
        <v>3967.8899999999994</v>
      </c>
      <c r="BF71" s="16">
        <f>BF69+BF70</f>
        <v>5412.5629999999992</v>
      </c>
      <c r="BG71" s="16">
        <f>BG69+BG70</f>
        <v>7042.5060000000003</v>
      </c>
      <c r="BH71" s="16">
        <f>BH69+BH70</f>
        <v>10202.799999999999</v>
      </c>
    </row>
    <row r="72" spans="2:60">
      <c r="J72" s="2"/>
      <c r="K72" s="2"/>
      <c r="L72" s="2"/>
      <c r="M72" s="2"/>
      <c r="N72" s="2"/>
      <c r="BD72" s="2"/>
      <c r="BE72" s="2"/>
      <c r="BF72" s="2"/>
      <c r="BG72" s="2"/>
      <c r="BH72" s="2"/>
    </row>
    <row r="73" spans="2:60">
      <c r="J73" s="2"/>
      <c r="K73" s="2"/>
      <c r="L73" s="2"/>
      <c r="M73" s="2"/>
      <c r="N73" s="2"/>
      <c r="BD73" s="2"/>
      <c r="BE73" s="2"/>
      <c r="BF73" s="2"/>
      <c r="BG73" s="2"/>
      <c r="BH73" s="2"/>
    </row>
    <row r="74" spans="2:60" s="1" customFormat="1">
      <c r="B74" s="1" t="s">
        <v>37</v>
      </c>
      <c r="C74" s="7"/>
      <c r="D74" s="7"/>
      <c r="E74" s="7"/>
      <c r="F74" s="7"/>
      <c r="G74" s="7">
        <f t="shared" ref="G74:L74" si="393">G37</f>
        <v>53.114999999999888</v>
      </c>
      <c r="H74" s="7">
        <f t="shared" si="393"/>
        <v>71.018000000000129</v>
      </c>
      <c r="I74" s="7">
        <f t="shared" si="393"/>
        <v>59.295000000000009</v>
      </c>
      <c r="J74" s="16">
        <f t="shared" si="393"/>
        <v>83.371000000000066</v>
      </c>
      <c r="K74" s="16">
        <f t="shared" si="393"/>
        <v>23.696000000000051</v>
      </c>
      <c r="L74" s="16">
        <f t="shared" si="393"/>
        <v>26.335000000000008</v>
      </c>
      <c r="M74" s="16">
        <f>M37</f>
        <v>29.431999999999967</v>
      </c>
      <c r="N74" s="16">
        <f>N37</f>
        <v>43.17500000000021</v>
      </c>
      <c r="BD74" s="16">
        <f>BD37</f>
        <v>226.12600000000023</v>
      </c>
      <c r="BE74" s="16">
        <f>BE37</f>
        <v>17.152000000000204</v>
      </c>
      <c r="BF74" s="16">
        <f>BF37</f>
        <v>112.40299999999991</v>
      </c>
      <c r="BG74" s="16">
        <f>BG37</f>
        <v>266.79900000000026</v>
      </c>
      <c r="BH74" s="16">
        <f>BH37</f>
        <v>122.63800000000066</v>
      </c>
    </row>
    <row r="75" spans="2:60">
      <c r="B75" t="s">
        <v>55</v>
      </c>
      <c r="C75" s="6"/>
      <c r="D75" s="6"/>
      <c r="E75" s="6"/>
      <c r="F75" s="6"/>
      <c r="G75" s="6"/>
      <c r="H75" s="6"/>
      <c r="I75" s="6"/>
      <c r="J75" s="2">
        <v>-1013.822</v>
      </c>
      <c r="K75" s="2"/>
      <c r="L75" s="2"/>
      <c r="M75" s="2">
        <v>-1304.4659999999999</v>
      </c>
      <c r="N75" s="2">
        <f>-1550.326</f>
        <v>-1550.326</v>
      </c>
      <c r="BD75" s="2">
        <v>-2320.732</v>
      </c>
      <c r="BE75" s="2">
        <v>-2515.5059999999999</v>
      </c>
      <c r="BF75" s="2">
        <v>-3049.7579999999998</v>
      </c>
      <c r="BG75" s="2">
        <v>-5771.6620000000003</v>
      </c>
      <c r="BH75" s="2">
        <v>-5771.6620000000003</v>
      </c>
    </row>
    <row r="76" spans="2:60">
      <c r="B76" t="s">
        <v>56</v>
      </c>
      <c r="C76" s="6"/>
      <c r="D76" s="6"/>
      <c r="E76" s="6"/>
      <c r="F76" s="6"/>
      <c r="G76" s="6"/>
      <c r="H76" s="6"/>
      <c r="I76" s="6"/>
      <c r="J76" s="2">
        <v>125.77</v>
      </c>
      <c r="K76" s="2"/>
      <c r="L76" s="2"/>
      <c r="M76" s="2">
        <v>104.684</v>
      </c>
      <c r="N76" s="2">
        <v>240.25</v>
      </c>
      <c r="BD76" s="2">
        <v>1463.9549999999999</v>
      </c>
      <c r="BE76" s="2">
        <v>762.08900000000006</v>
      </c>
      <c r="BF76" s="2">
        <v>673.78499999999997</v>
      </c>
      <c r="BG76" s="2">
        <v>1162.413</v>
      </c>
      <c r="BH76" s="2">
        <v>1162.413</v>
      </c>
    </row>
    <row r="77" spans="2:60">
      <c r="B77" t="s">
        <v>57</v>
      </c>
      <c r="C77" s="6"/>
      <c r="D77" s="6"/>
      <c r="E77" s="6"/>
      <c r="F77" s="6"/>
      <c r="G77" s="6"/>
      <c r="H77" s="6"/>
      <c r="I77" s="6"/>
      <c r="J77" s="2">
        <f>730.353+20.178+14.312</f>
        <v>764.84299999999996</v>
      </c>
      <c r="K77" s="2"/>
      <c r="L77" s="2"/>
      <c r="M77" s="2">
        <f>871.403+18.589+16.047</f>
        <v>906.03899999999999</v>
      </c>
      <c r="N77" s="2">
        <f>961.861+18.793+15.488</f>
        <v>996.14200000000005</v>
      </c>
      <c r="BD77" s="2">
        <f>699.128+96.744+43.747</f>
        <v>839.61900000000003</v>
      </c>
      <c r="BE77" s="2">
        <f>1591.218+65.396+45.469</f>
        <v>1702.0830000000001</v>
      </c>
      <c r="BF77" s="2">
        <f>2121.981+71.325+48.374</f>
        <v>2241.6799999999998</v>
      </c>
      <c r="BG77" s="2">
        <f>3405.382+79.38+62.283</f>
        <v>3547.0450000000001</v>
      </c>
      <c r="BH77" s="2">
        <f>3405.382+79.38+62.283</f>
        <v>3547.0450000000001</v>
      </c>
    </row>
    <row r="78" spans="2:60">
      <c r="B78" t="s">
        <v>58</v>
      </c>
      <c r="C78" s="6"/>
      <c r="D78" s="6"/>
      <c r="E78" s="6"/>
      <c r="F78" s="6"/>
      <c r="G78" s="6"/>
      <c r="H78" s="6"/>
      <c r="I78" s="6"/>
      <c r="J78" s="2">
        <v>30.251000000000001</v>
      </c>
      <c r="K78" s="2"/>
      <c r="L78" s="2"/>
      <c r="M78" s="2">
        <v>32.834000000000003</v>
      </c>
      <c r="N78" s="2">
        <v>35.86</v>
      </c>
      <c r="BD78" s="2">
        <v>61.582000000000001</v>
      </c>
      <c r="BE78" s="2">
        <v>73.947999999999993</v>
      </c>
      <c r="BF78" s="2">
        <v>73.099999999999994</v>
      </c>
      <c r="BG78" s="2">
        <v>124.72499999999999</v>
      </c>
      <c r="BH78" s="2">
        <v>124.72499999999999</v>
      </c>
    </row>
    <row r="79" spans="2:60">
      <c r="B79" t="s">
        <v>59</v>
      </c>
      <c r="C79" s="6"/>
      <c r="D79" s="6"/>
      <c r="E79" s="6"/>
      <c r="F79" s="6"/>
      <c r="G79" s="6"/>
      <c r="H79" s="6"/>
      <c r="I79" s="6"/>
      <c r="J79" s="2">
        <v>-20.920999999999999</v>
      </c>
      <c r="K79" s="2"/>
      <c r="L79" s="2"/>
      <c r="M79" s="2">
        <v>-37.725999999999999</v>
      </c>
      <c r="N79" s="2">
        <v>25.683</v>
      </c>
      <c r="BD79" s="2">
        <v>-45.783999999999999</v>
      </c>
      <c r="BE79" s="2">
        <v>-4.5430000000000001</v>
      </c>
      <c r="BF79" s="2">
        <v>-81.662999999999997</v>
      </c>
      <c r="BG79" s="2">
        <v>-80.471000000000004</v>
      </c>
      <c r="BH79" s="2">
        <v>-80.471000000000004</v>
      </c>
    </row>
    <row r="80" spans="2:60">
      <c r="B80" t="s">
        <v>60</v>
      </c>
      <c r="C80" s="6"/>
      <c r="D80" s="6"/>
      <c r="E80" s="6"/>
      <c r="F80" s="6"/>
      <c r="G80" s="6"/>
      <c r="H80" s="6"/>
      <c r="I80" s="6"/>
      <c r="J80" s="2">
        <v>6.4749999999999996</v>
      </c>
      <c r="K80" s="2"/>
      <c r="L80" s="2"/>
      <c r="M80" s="2">
        <v>10.866</v>
      </c>
      <c r="N80" s="2">
        <v>7.774</v>
      </c>
      <c r="BD80" s="2">
        <v>-4.05</v>
      </c>
      <c r="BE80" s="2">
        <v>-8.3919999999999995</v>
      </c>
      <c r="BF80" s="2">
        <v>5.3319999999999999</v>
      </c>
      <c r="BG80" s="2">
        <v>31.628</v>
      </c>
      <c r="BH80" s="2">
        <v>31.628</v>
      </c>
    </row>
    <row r="81" spans="2:60">
      <c r="B81" t="s">
        <v>61</v>
      </c>
      <c r="C81" s="6"/>
      <c r="D81" s="6"/>
      <c r="E81" s="6"/>
      <c r="F81" s="6"/>
      <c r="G81" s="6"/>
      <c r="H81" s="6"/>
      <c r="I81" s="6"/>
      <c r="J81" s="2">
        <v>7.5010000000000003</v>
      </c>
      <c r="K81" s="2"/>
      <c r="L81" s="2"/>
      <c r="M81" s="2">
        <v>-29.417000000000002</v>
      </c>
      <c r="N81" s="2">
        <v>12.036</v>
      </c>
      <c r="BD81" s="2">
        <v>-18.597000000000001</v>
      </c>
      <c r="BE81" s="2">
        <v>-30.071000000000002</v>
      </c>
      <c r="BF81" s="2">
        <v>-22.044</v>
      </c>
      <c r="BG81" s="2">
        <v>-58.655000000000001</v>
      </c>
      <c r="BH81" s="2">
        <v>-58.655000000000001</v>
      </c>
    </row>
    <row r="82" spans="2:60">
      <c r="B82" t="s">
        <v>62</v>
      </c>
      <c r="C82" s="6"/>
      <c r="D82" s="6"/>
      <c r="E82" s="6"/>
      <c r="F82" s="6"/>
      <c r="G82" s="6"/>
      <c r="H82" s="6"/>
      <c r="I82" s="6"/>
      <c r="J82" s="2">
        <f>-30.539+51.083+4.05+21.63-68.153</f>
        <v>-21.929000000000009</v>
      </c>
      <c r="K82" s="2"/>
      <c r="L82" s="2"/>
      <c r="M82" s="2">
        <f>66.695+6.762+10.883+27.985-20.54</f>
        <v>91.784999999999997</v>
      </c>
      <c r="N82" s="2">
        <f>-62.755+49.031-39.619+16.982-18.981</f>
        <v>-55.342000000000006</v>
      </c>
      <c r="BD82" s="2">
        <f>6.211-4.775+23.968+65.56+21.613+3.016</f>
        <v>115.593</v>
      </c>
      <c r="BE82" s="2">
        <f>-3.922-1.51-3.764+9.806+20.676+4.719</f>
        <v>26.004999999999999</v>
      </c>
      <c r="BF82" s="2">
        <f>25.129+62.234+18.374+1.941+46.295-8.977</f>
        <v>144.99600000000001</v>
      </c>
      <c r="BG82" s="2">
        <f>18.693+51.615+48.81+72.135-18.366</f>
        <v>172.887</v>
      </c>
      <c r="BH82" s="2">
        <f>18.693+51.615+48.81+72.135-18.366</f>
        <v>172.887</v>
      </c>
    </row>
    <row r="83" spans="2:60" s="1" customFormat="1">
      <c r="B83" s="1" t="s">
        <v>63</v>
      </c>
      <c r="J83" s="16">
        <f>J74+SUM(J75:J82)</f>
        <v>-38.460999999999984</v>
      </c>
      <c r="K83" s="16"/>
      <c r="L83" s="16"/>
      <c r="M83" s="16">
        <f>M74+SUM(M75:M82)</f>
        <v>-195.96899999999997</v>
      </c>
      <c r="N83" s="16">
        <f>N74+SUM(N75:N82)</f>
        <v>-244.74799999999973</v>
      </c>
      <c r="BD83" s="16">
        <f>BD74+SUM(BD75:BD82)</f>
        <v>317.71200000000022</v>
      </c>
      <c r="BE83" s="16">
        <f>BE74+SUM(BE75:BE82)</f>
        <v>22.765000000000363</v>
      </c>
      <c r="BF83" s="16">
        <f>BF74+SUM(BF75:BF82)</f>
        <v>97.83099999999979</v>
      </c>
      <c r="BG83" s="16">
        <f>BG74+SUM(BG75:BG82)</f>
        <v>-605.29099999999949</v>
      </c>
      <c r="BH83" s="16">
        <f>BH74+SUM(BH75:BH82)</f>
        <v>-749.45199999999909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2020-09-14T14:40:32Z</dcterms:created>
  <dcterms:modified xsi:type="dcterms:W3CDTF">2025-04-22T09:56:08Z</dcterms:modified>
</cp:coreProperties>
</file>