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DA745C4-1BE2-4FEA-A5A3-3E82BE2AA88E}" xr6:coauthVersionLast="47" xr6:coauthVersionMax="47" xr10:uidLastSave="{00000000-0000-0000-0000-000000000000}"/>
  <bookViews>
    <workbookView xWindow="-108" yWindow="-108" windowWidth="23256" windowHeight="12576" activeTab="1" xr2:uid="{EDC85278-EEDF-4974-94A5-175886CE061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1" i="2" l="1"/>
  <c r="AF89" i="2"/>
  <c r="AG89" i="2" s="1"/>
  <c r="AH89" i="2" s="1"/>
  <c r="AI89" i="2" s="1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BJ89" i="2" s="1"/>
  <c r="BK89" i="2" s="1"/>
  <c r="BL89" i="2" s="1"/>
  <c r="BM89" i="2" s="1"/>
  <c r="BN89" i="2" s="1"/>
  <c r="BO89" i="2" s="1"/>
  <c r="BP89" i="2" s="1"/>
  <c r="BQ89" i="2" s="1"/>
  <c r="BR89" i="2" s="1"/>
  <c r="BS89" i="2" s="1"/>
  <c r="BT89" i="2" s="1"/>
  <c r="BU89" i="2" s="1"/>
  <c r="BV89" i="2" s="1"/>
  <c r="BW89" i="2" s="1"/>
  <c r="BX89" i="2" s="1"/>
  <c r="BY89" i="2" s="1"/>
  <c r="BZ89" i="2" s="1"/>
  <c r="CA89" i="2" s="1"/>
  <c r="CB89" i="2" s="1"/>
  <c r="CC89" i="2" s="1"/>
  <c r="CD89" i="2" s="1"/>
  <c r="CE89" i="2" s="1"/>
  <c r="CF89" i="2" s="1"/>
  <c r="CG89" i="2" s="1"/>
  <c r="CH89" i="2" s="1"/>
  <c r="CI89" i="2" s="1"/>
  <c r="CJ89" i="2" s="1"/>
  <c r="CK89" i="2" s="1"/>
  <c r="CL89" i="2" s="1"/>
  <c r="CM89" i="2" s="1"/>
  <c r="CN89" i="2" s="1"/>
  <c r="CO89" i="2" s="1"/>
  <c r="CP89" i="2" s="1"/>
  <c r="CQ89" i="2" s="1"/>
  <c r="CR89" i="2" s="1"/>
  <c r="CS89" i="2" s="1"/>
  <c r="CT89" i="2" s="1"/>
  <c r="CU89" i="2" s="1"/>
  <c r="CV89" i="2" s="1"/>
  <c r="CW89" i="2" s="1"/>
  <c r="CX89" i="2" s="1"/>
  <c r="CY89" i="2" s="1"/>
  <c r="CZ89" i="2" s="1"/>
  <c r="DA89" i="2" s="1"/>
  <c r="DB89" i="2" s="1"/>
  <c r="DC89" i="2" s="1"/>
  <c r="DD89" i="2" s="1"/>
  <c r="DE89" i="2" s="1"/>
  <c r="DF89" i="2" s="1"/>
  <c r="DG89" i="2" s="1"/>
  <c r="DH89" i="2" s="1"/>
  <c r="DI89" i="2" s="1"/>
  <c r="DJ89" i="2" s="1"/>
  <c r="DK89" i="2" s="1"/>
  <c r="DL89" i="2" s="1"/>
  <c r="DM89" i="2" s="1"/>
  <c r="DN89" i="2" s="1"/>
  <c r="DO89" i="2" s="1"/>
  <c r="DP89" i="2" s="1"/>
  <c r="DQ89" i="2" s="1"/>
  <c r="DR89" i="2" s="1"/>
  <c r="DS89" i="2" s="1"/>
  <c r="DT89" i="2" s="1"/>
  <c r="DU89" i="2" s="1"/>
  <c r="DV89" i="2" s="1"/>
  <c r="DW89" i="2" s="1"/>
  <c r="DX89" i="2" s="1"/>
  <c r="DY89" i="2" s="1"/>
  <c r="DZ89" i="2" s="1"/>
  <c r="EA89" i="2" s="1"/>
  <c r="EB89" i="2" s="1"/>
  <c r="EC89" i="2" s="1"/>
  <c r="ED89" i="2" s="1"/>
  <c r="EE89" i="2" s="1"/>
  <c r="EF89" i="2" s="1"/>
  <c r="EG89" i="2" s="1"/>
  <c r="EH89" i="2" s="1"/>
  <c r="EI89" i="2" s="1"/>
  <c r="EJ89" i="2" s="1"/>
  <c r="EK89" i="2" s="1"/>
  <c r="EL89" i="2" s="1"/>
  <c r="AE89" i="2"/>
  <c r="Q67" i="2"/>
  <c r="Q65" i="2"/>
  <c r="Q61" i="2"/>
  <c r="Q55" i="2"/>
  <c r="Q56" i="2" s="1"/>
  <c r="Q48" i="2"/>
  <c r="Q42" i="2"/>
  <c r="R65" i="2"/>
  <c r="R61" i="2"/>
  <c r="R67" i="2" s="1"/>
  <c r="R57" i="2"/>
  <c r="R56" i="2"/>
  <c r="R48" i="2"/>
  <c r="R42" i="2"/>
  <c r="AD92" i="2"/>
  <c r="AC92" i="2"/>
  <c r="AB92" i="2"/>
  <c r="AA92" i="2"/>
  <c r="Z92" i="2"/>
  <c r="Y92" i="2"/>
  <c r="X92" i="2"/>
  <c r="W92" i="2"/>
  <c r="V92" i="2"/>
  <c r="U92" i="2"/>
  <c r="T92" i="2"/>
  <c r="AD91" i="2"/>
  <c r="AC91" i="2"/>
  <c r="AB91" i="2"/>
  <c r="AA91" i="2"/>
  <c r="Z91" i="2"/>
  <c r="Y91" i="2"/>
  <c r="X91" i="2"/>
  <c r="W91" i="2"/>
  <c r="V91" i="2"/>
  <c r="U91" i="2"/>
  <c r="T91" i="2"/>
  <c r="U88" i="2"/>
  <c r="V88" i="2" s="1"/>
  <c r="W88" i="2" s="1"/>
  <c r="X88" i="2" s="1"/>
  <c r="Y88" i="2" s="1"/>
  <c r="Z88" i="2" s="1"/>
  <c r="AA88" i="2" s="1"/>
  <c r="AB88" i="2" s="1"/>
  <c r="AC88" i="2" s="1"/>
  <c r="AD88" i="2" s="1"/>
  <c r="T88" i="2"/>
  <c r="T89" i="2"/>
  <c r="AD86" i="2"/>
  <c r="AC86" i="2"/>
  <c r="AB86" i="2"/>
  <c r="AA86" i="2"/>
  <c r="Z86" i="2"/>
  <c r="Y86" i="2"/>
  <c r="X86" i="2"/>
  <c r="W86" i="2"/>
  <c r="V86" i="2"/>
  <c r="U86" i="2"/>
  <c r="T86" i="2"/>
  <c r="U85" i="2"/>
  <c r="V85" i="2" s="1"/>
  <c r="W85" i="2" s="1"/>
  <c r="X85" i="2" s="1"/>
  <c r="Y85" i="2" s="1"/>
  <c r="Z85" i="2" s="1"/>
  <c r="AA85" i="2" s="1"/>
  <c r="AB85" i="2" s="1"/>
  <c r="AC85" i="2" s="1"/>
  <c r="AD85" i="2" s="1"/>
  <c r="V77" i="2"/>
  <c r="W77" i="2" s="1"/>
  <c r="X77" i="2" s="1"/>
  <c r="Y77" i="2" s="1"/>
  <c r="Z77" i="2" s="1"/>
  <c r="AA77" i="2" s="1"/>
  <c r="AB77" i="2" s="1"/>
  <c r="AC77" i="2" s="1"/>
  <c r="AD77" i="2" s="1"/>
  <c r="U77" i="2"/>
  <c r="U76" i="2"/>
  <c r="V76" i="2" s="1"/>
  <c r="W76" i="2" s="1"/>
  <c r="X76" i="2" s="1"/>
  <c r="Y76" i="2" s="1"/>
  <c r="Z76" i="2" s="1"/>
  <c r="AA76" i="2" s="1"/>
  <c r="AB76" i="2" s="1"/>
  <c r="AC76" i="2" s="1"/>
  <c r="AD76" i="2" s="1"/>
  <c r="U75" i="2"/>
  <c r="V75" i="2" s="1"/>
  <c r="W75" i="2" s="1"/>
  <c r="X75" i="2" s="1"/>
  <c r="Y75" i="2" s="1"/>
  <c r="Z75" i="2" s="1"/>
  <c r="AA75" i="2" s="1"/>
  <c r="AB75" i="2" s="1"/>
  <c r="AC75" i="2" s="1"/>
  <c r="AD75" i="2" s="1"/>
  <c r="T85" i="2"/>
  <c r="T77" i="2"/>
  <c r="T76" i="2"/>
  <c r="T75" i="2"/>
  <c r="U74" i="2"/>
  <c r="V74" i="2" s="1"/>
  <c r="W74" i="2" s="1"/>
  <c r="X74" i="2" s="1"/>
  <c r="Y74" i="2" s="1"/>
  <c r="Z74" i="2" s="1"/>
  <c r="AA74" i="2" s="1"/>
  <c r="AB74" i="2" s="1"/>
  <c r="AC74" i="2" s="1"/>
  <c r="AD74" i="2" s="1"/>
  <c r="T74" i="2"/>
  <c r="U73" i="2"/>
  <c r="V73" i="2" s="1"/>
  <c r="W73" i="2" s="1"/>
  <c r="X73" i="2" s="1"/>
  <c r="Y73" i="2" s="1"/>
  <c r="Z73" i="2" s="1"/>
  <c r="AA73" i="2" s="1"/>
  <c r="AB73" i="2" s="1"/>
  <c r="AC73" i="2" s="1"/>
  <c r="AD73" i="2" s="1"/>
  <c r="T73" i="2"/>
  <c r="U71" i="2"/>
  <c r="V71" i="2" s="1"/>
  <c r="W71" i="2" s="1"/>
  <c r="X71" i="2" s="1"/>
  <c r="Y71" i="2" s="1"/>
  <c r="Z71" i="2" s="1"/>
  <c r="AA71" i="2" s="1"/>
  <c r="AB71" i="2" s="1"/>
  <c r="AC71" i="2" s="1"/>
  <c r="AD71" i="2" s="1"/>
  <c r="T71" i="2"/>
  <c r="U70" i="2"/>
  <c r="V70" i="2" s="1"/>
  <c r="W70" i="2" s="1"/>
  <c r="X70" i="2" s="1"/>
  <c r="Y70" i="2" s="1"/>
  <c r="Z70" i="2" s="1"/>
  <c r="AA70" i="2" s="1"/>
  <c r="AB70" i="2" s="1"/>
  <c r="AC70" i="2" s="1"/>
  <c r="AD70" i="2" s="1"/>
  <c r="T70" i="2"/>
  <c r="S92" i="2"/>
  <c r="M92" i="2"/>
  <c r="L92" i="2"/>
  <c r="K92" i="2"/>
  <c r="N92" i="2"/>
  <c r="K91" i="2"/>
  <c r="H88" i="2"/>
  <c r="I88" i="2" s="1"/>
  <c r="J88" i="2" s="1"/>
  <c r="L88" i="2"/>
  <c r="J5" i="2"/>
  <c r="K5" i="2"/>
  <c r="M5" i="2"/>
  <c r="L5" i="2"/>
  <c r="M65" i="2"/>
  <c r="M61" i="2"/>
  <c r="M56" i="2"/>
  <c r="M48" i="2"/>
  <c r="M42" i="2"/>
  <c r="D7" i="1"/>
  <c r="D6" i="1"/>
  <c r="L78" i="2"/>
  <c r="M78" i="2" s="1"/>
  <c r="L82" i="2"/>
  <c r="M82" i="2" s="1"/>
  <c r="J100" i="2"/>
  <c r="J97" i="2"/>
  <c r="I100" i="2"/>
  <c r="I97" i="2"/>
  <c r="I65" i="2"/>
  <c r="I61" i="2"/>
  <c r="I56" i="2"/>
  <c r="I48" i="2"/>
  <c r="I42" i="2"/>
  <c r="F55" i="2"/>
  <c r="F56" i="2" s="1"/>
  <c r="F65" i="2"/>
  <c r="F61" i="2"/>
  <c r="F48" i="2"/>
  <c r="F42" i="2"/>
  <c r="G64" i="2"/>
  <c r="G65" i="2" s="1"/>
  <c r="G55" i="2"/>
  <c r="G56" i="2" s="1"/>
  <c r="G42" i="2"/>
  <c r="G61" i="2"/>
  <c r="G48" i="2"/>
  <c r="H100" i="2"/>
  <c r="H76" i="2" s="1"/>
  <c r="H97" i="2"/>
  <c r="H73" i="2" s="1"/>
  <c r="L96" i="2"/>
  <c r="L72" i="2" s="1"/>
  <c r="M72" i="2" s="1"/>
  <c r="S72" i="2" s="1"/>
  <c r="H85" i="2"/>
  <c r="I85" i="2" s="1"/>
  <c r="J85" i="2" s="1"/>
  <c r="H84" i="2"/>
  <c r="I84" i="2" s="1"/>
  <c r="J84" i="2" s="1"/>
  <c r="H83" i="2"/>
  <c r="I83" i="2" s="1"/>
  <c r="J83" i="2" s="1"/>
  <c r="H82" i="2"/>
  <c r="I82" i="2" s="1"/>
  <c r="J82" i="2" s="1"/>
  <c r="H81" i="2"/>
  <c r="I81" i="2" s="1"/>
  <c r="J81" i="2" s="1"/>
  <c r="H80" i="2"/>
  <c r="I80" i="2" s="1"/>
  <c r="H79" i="2"/>
  <c r="I79" i="2" s="1"/>
  <c r="H78" i="2"/>
  <c r="I78" i="2" s="1"/>
  <c r="H77" i="2"/>
  <c r="I77" i="2" s="1"/>
  <c r="J77" i="2" s="1"/>
  <c r="H75" i="2"/>
  <c r="I75" i="2" s="1"/>
  <c r="J75" i="2" s="1"/>
  <c r="H74" i="2"/>
  <c r="I74" i="2" s="1"/>
  <c r="J74" i="2" s="1"/>
  <c r="H72" i="2"/>
  <c r="I72" i="2" s="1"/>
  <c r="H71" i="2"/>
  <c r="I71" i="2" s="1"/>
  <c r="H70" i="2"/>
  <c r="I70" i="2" s="1"/>
  <c r="L85" i="2"/>
  <c r="L84" i="2"/>
  <c r="M84" i="2" s="1"/>
  <c r="L83" i="2"/>
  <c r="M83" i="2" s="1"/>
  <c r="L81" i="2"/>
  <c r="M81" i="2" s="1"/>
  <c r="L80" i="2"/>
  <c r="M80" i="2" s="1"/>
  <c r="S80" i="2" s="1"/>
  <c r="L79" i="2"/>
  <c r="L77" i="2"/>
  <c r="M77" i="2" s="1"/>
  <c r="L75" i="2"/>
  <c r="M75" i="2" s="1"/>
  <c r="L74" i="2"/>
  <c r="M74" i="2" s="1"/>
  <c r="L73" i="2"/>
  <c r="M73" i="2" s="1"/>
  <c r="L71" i="2"/>
  <c r="L100" i="2"/>
  <c r="L76" i="2" s="1"/>
  <c r="L94" i="2"/>
  <c r="L70" i="2" s="1"/>
  <c r="K65" i="2"/>
  <c r="K61" i="2"/>
  <c r="K56" i="2"/>
  <c r="K48" i="2"/>
  <c r="K42" i="2"/>
  <c r="J65" i="2"/>
  <c r="J61" i="2"/>
  <c r="J56" i="2"/>
  <c r="J48" i="2"/>
  <c r="J42" i="2"/>
  <c r="L65" i="2"/>
  <c r="L61" i="2"/>
  <c r="L56" i="2"/>
  <c r="L42" i="2"/>
  <c r="L48" i="2"/>
  <c r="Q57" i="2" l="1"/>
  <c r="U89" i="2"/>
  <c r="V89" i="2"/>
  <c r="L67" i="2"/>
  <c r="L91" i="2"/>
  <c r="N91" i="2"/>
  <c r="R88" i="2"/>
  <c r="M88" i="2"/>
  <c r="I73" i="2"/>
  <c r="J73" i="2" s="1"/>
  <c r="I76" i="2"/>
  <c r="S77" i="2"/>
  <c r="M79" i="2"/>
  <c r="S79" i="2" s="1"/>
  <c r="M85" i="2"/>
  <c r="S85" i="2" s="1"/>
  <c r="J79" i="2"/>
  <c r="R79" i="2" s="1"/>
  <c r="J80" i="2"/>
  <c r="R80" i="2" s="1"/>
  <c r="J72" i="2"/>
  <c r="R72" i="2" s="1"/>
  <c r="J71" i="2"/>
  <c r="R71" i="2" s="1"/>
  <c r="M70" i="2"/>
  <c r="S70" i="2" s="1"/>
  <c r="M76" i="2"/>
  <c r="S76" i="2" s="1"/>
  <c r="R77" i="2"/>
  <c r="R85" i="2"/>
  <c r="M71" i="2"/>
  <c r="S71" i="2" s="1"/>
  <c r="S81" i="2"/>
  <c r="S73" i="2"/>
  <c r="S82" i="2"/>
  <c r="R81" i="2"/>
  <c r="S74" i="2"/>
  <c r="S83" i="2"/>
  <c r="R74" i="2"/>
  <c r="R82" i="2"/>
  <c r="S75" i="2"/>
  <c r="S84" i="2"/>
  <c r="R75" i="2"/>
  <c r="R83" i="2"/>
  <c r="J70" i="2"/>
  <c r="R70" i="2" s="1"/>
  <c r="J78" i="2"/>
  <c r="R78" i="2" s="1"/>
  <c r="R84" i="2"/>
  <c r="L57" i="2"/>
  <c r="S78" i="2"/>
  <c r="M67" i="2"/>
  <c r="M57" i="2"/>
  <c r="I67" i="2"/>
  <c r="I57" i="2"/>
  <c r="F67" i="2"/>
  <c r="F57" i="2"/>
  <c r="G67" i="2"/>
  <c r="G57" i="2"/>
  <c r="K67" i="2"/>
  <c r="K57" i="2"/>
  <c r="J67" i="2"/>
  <c r="J57" i="2"/>
  <c r="W89" i="2" l="1"/>
  <c r="M91" i="2"/>
  <c r="S88" i="2"/>
  <c r="S91" i="2" s="1"/>
  <c r="J76" i="2"/>
  <c r="R76" i="2" s="1"/>
  <c r="R73" i="2"/>
  <c r="S3" i="2"/>
  <c r="N28" i="2"/>
  <c r="M28" i="2"/>
  <c r="N6" i="2"/>
  <c r="N5" i="2" s="1"/>
  <c r="K28" i="2"/>
  <c r="L28" i="2"/>
  <c r="X89" i="2" l="1"/>
  <c r="AG36" i="2"/>
  <c r="S23" i="2"/>
  <c r="S22" i="2"/>
  <c r="S20" i="2"/>
  <c r="S19" i="2"/>
  <c r="S18" i="2"/>
  <c r="S17" i="2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S15" i="2"/>
  <c r="S14" i="2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S13" i="2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N10" i="2"/>
  <c r="N33" i="2" s="1"/>
  <c r="N36" i="2"/>
  <c r="M36" i="2"/>
  <c r="N35" i="2"/>
  <c r="M35" i="2"/>
  <c r="N30" i="2"/>
  <c r="M30" i="2"/>
  <c r="S7" i="2"/>
  <c r="T7" i="2" s="1"/>
  <c r="N8" i="2"/>
  <c r="M8" i="2"/>
  <c r="I29" i="2"/>
  <c r="J29" i="2"/>
  <c r="K29" i="2"/>
  <c r="L29" i="2"/>
  <c r="Q36" i="2"/>
  <c r="Q35" i="2"/>
  <c r="Q33" i="2"/>
  <c r="P33" i="2"/>
  <c r="Q32" i="2"/>
  <c r="P32" i="2"/>
  <c r="K36" i="2"/>
  <c r="J36" i="2"/>
  <c r="I36" i="2"/>
  <c r="K35" i="2"/>
  <c r="J35" i="2"/>
  <c r="I35" i="2"/>
  <c r="K33" i="2"/>
  <c r="J33" i="2"/>
  <c r="I33" i="2"/>
  <c r="H33" i="2"/>
  <c r="G33" i="2"/>
  <c r="F33" i="2"/>
  <c r="E33" i="2"/>
  <c r="K32" i="2"/>
  <c r="J32" i="2"/>
  <c r="I32" i="2"/>
  <c r="H32" i="2"/>
  <c r="G32" i="2"/>
  <c r="F32" i="2"/>
  <c r="E32" i="2"/>
  <c r="K30" i="2"/>
  <c r="J30" i="2"/>
  <c r="I30" i="2"/>
  <c r="L36" i="2"/>
  <c r="L35" i="2"/>
  <c r="L33" i="2"/>
  <c r="L32" i="2"/>
  <c r="L30" i="2"/>
  <c r="R23" i="2"/>
  <c r="R22" i="2"/>
  <c r="R20" i="2"/>
  <c r="R19" i="2"/>
  <c r="R18" i="2"/>
  <c r="R17" i="2"/>
  <c r="R15" i="2"/>
  <c r="R14" i="2"/>
  <c r="R36" i="2" s="1"/>
  <c r="R13" i="2"/>
  <c r="R35" i="2" s="1"/>
  <c r="R10" i="2"/>
  <c r="R9" i="2"/>
  <c r="R7" i="2"/>
  <c r="R6" i="2"/>
  <c r="Q11" i="2"/>
  <c r="Q8" i="2"/>
  <c r="P11" i="2"/>
  <c r="P8" i="2"/>
  <c r="E11" i="2"/>
  <c r="E8" i="2"/>
  <c r="I11" i="2"/>
  <c r="I8" i="2"/>
  <c r="F11" i="2"/>
  <c r="F8" i="2"/>
  <c r="J11" i="2"/>
  <c r="J8" i="2"/>
  <c r="G11" i="2"/>
  <c r="G8" i="2"/>
  <c r="K11" i="2"/>
  <c r="K8" i="2"/>
  <c r="H11" i="2"/>
  <c r="H8" i="2"/>
  <c r="L11" i="2"/>
  <c r="L8" i="2"/>
  <c r="D8" i="1"/>
  <c r="AG33" i="2" s="1"/>
  <c r="G3" i="1"/>
  <c r="D5" i="1"/>
  <c r="Y89" i="2" l="1"/>
  <c r="S10" i="2"/>
  <c r="S33" i="2" s="1"/>
  <c r="T10" i="2"/>
  <c r="T33" i="2" s="1"/>
  <c r="U7" i="2"/>
  <c r="V7" i="2" s="1"/>
  <c r="W7" i="2" s="1"/>
  <c r="X7" i="2" s="1"/>
  <c r="Y7" i="2" s="1"/>
  <c r="Z7" i="2" s="1"/>
  <c r="AA7" i="2" s="1"/>
  <c r="AB7" i="2" s="1"/>
  <c r="AC7" i="2" s="1"/>
  <c r="AD7" i="2" s="1"/>
  <c r="S30" i="2"/>
  <c r="D9" i="1"/>
  <c r="N31" i="2"/>
  <c r="M11" i="2"/>
  <c r="M12" i="2" s="1"/>
  <c r="M33" i="2"/>
  <c r="N9" i="2"/>
  <c r="N11" i="2" s="1"/>
  <c r="N12" i="2" s="1"/>
  <c r="S6" i="2"/>
  <c r="N29" i="2"/>
  <c r="T30" i="2"/>
  <c r="K31" i="2"/>
  <c r="I31" i="2"/>
  <c r="R32" i="2"/>
  <c r="S36" i="2"/>
  <c r="S35" i="2"/>
  <c r="R29" i="2"/>
  <c r="L31" i="2"/>
  <c r="J31" i="2"/>
  <c r="R33" i="2"/>
  <c r="R30" i="2"/>
  <c r="L12" i="2"/>
  <c r="R11" i="2"/>
  <c r="R8" i="2"/>
  <c r="Q12" i="2"/>
  <c r="P12" i="2"/>
  <c r="E12" i="2"/>
  <c r="I12" i="2"/>
  <c r="F12" i="2"/>
  <c r="J12" i="2"/>
  <c r="G12" i="2"/>
  <c r="K12" i="2"/>
  <c r="H12" i="2"/>
  <c r="Z89" i="2" l="1"/>
  <c r="V30" i="2"/>
  <c r="T6" i="2"/>
  <c r="S5" i="2"/>
  <c r="U10" i="2"/>
  <c r="U33" i="2" s="1"/>
  <c r="M32" i="2"/>
  <c r="U30" i="2"/>
  <c r="N34" i="2"/>
  <c r="N16" i="2"/>
  <c r="M34" i="2"/>
  <c r="M16" i="2"/>
  <c r="N32" i="2"/>
  <c r="S8" i="2"/>
  <c r="S31" i="2" s="1"/>
  <c r="S29" i="2"/>
  <c r="S9" i="2"/>
  <c r="S11" i="2" s="1"/>
  <c r="V10" i="2"/>
  <c r="V33" i="2" s="1"/>
  <c r="W30" i="2"/>
  <c r="T36" i="2"/>
  <c r="T35" i="2"/>
  <c r="K16" i="2"/>
  <c r="K34" i="2"/>
  <c r="J16" i="2"/>
  <c r="J34" i="2"/>
  <c r="L16" i="2"/>
  <c r="L34" i="2"/>
  <c r="F16" i="2"/>
  <c r="F34" i="2"/>
  <c r="R31" i="2"/>
  <c r="G16" i="2"/>
  <c r="G34" i="2"/>
  <c r="I16" i="2"/>
  <c r="I34" i="2"/>
  <c r="E16" i="2"/>
  <c r="E34" i="2"/>
  <c r="P16" i="2"/>
  <c r="P34" i="2"/>
  <c r="H16" i="2"/>
  <c r="H34" i="2"/>
  <c r="Q16" i="2"/>
  <c r="Q34" i="2"/>
  <c r="R12" i="2"/>
  <c r="AA89" i="2" l="1"/>
  <c r="S32" i="2"/>
  <c r="T9" i="2"/>
  <c r="T11" i="2" s="1"/>
  <c r="U6" i="2"/>
  <c r="T29" i="2"/>
  <c r="T8" i="2"/>
  <c r="M37" i="2"/>
  <c r="M21" i="2"/>
  <c r="S12" i="2"/>
  <c r="N37" i="2"/>
  <c r="N21" i="2"/>
  <c r="W10" i="2"/>
  <c r="X30" i="2"/>
  <c r="U36" i="2"/>
  <c r="U35" i="2"/>
  <c r="E21" i="2"/>
  <c r="E37" i="2"/>
  <c r="R16" i="2"/>
  <c r="R34" i="2"/>
  <c r="L21" i="2"/>
  <c r="L37" i="2"/>
  <c r="F21" i="2"/>
  <c r="F37" i="2"/>
  <c r="Q21" i="2"/>
  <c r="Q37" i="2"/>
  <c r="I21" i="2"/>
  <c r="I37" i="2"/>
  <c r="H21" i="2"/>
  <c r="H37" i="2"/>
  <c r="G21" i="2"/>
  <c r="G37" i="2"/>
  <c r="J21" i="2"/>
  <c r="J37" i="2"/>
  <c r="P21" i="2"/>
  <c r="P37" i="2"/>
  <c r="K21" i="2"/>
  <c r="K37" i="2"/>
  <c r="AB89" i="2" l="1"/>
  <c r="T32" i="2"/>
  <c r="M39" i="2"/>
  <c r="M38" i="2"/>
  <c r="M24" i="2"/>
  <c r="M69" i="2" s="1"/>
  <c r="M86" i="2" s="1"/>
  <c r="M89" i="2" s="1"/>
  <c r="N38" i="2"/>
  <c r="N24" i="2"/>
  <c r="N69" i="2" s="1"/>
  <c r="N86" i="2" s="1"/>
  <c r="N39" i="2"/>
  <c r="U9" i="2"/>
  <c r="U11" i="2" s="1"/>
  <c r="V6" i="2"/>
  <c r="U8" i="2"/>
  <c r="U29" i="2"/>
  <c r="T12" i="2"/>
  <c r="T31" i="2"/>
  <c r="S16" i="2"/>
  <c r="S34" i="2"/>
  <c r="W33" i="2"/>
  <c r="X10" i="2"/>
  <c r="Y30" i="2"/>
  <c r="V36" i="2"/>
  <c r="V35" i="2"/>
  <c r="I24" i="2"/>
  <c r="I69" i="2" s="1"/>
  <c r="I86" i="2" s="1"/>
  <c r="I89" i="2" s="1"/>
  <c r="I38" i="2"/>
  <c r="I39" i="2"/>
  <c r="E24" i="2"/>
  <c r="E39" i="2"/>
  <c r="E38" i="2"/>
  <c r="R21" i="2"/>
  <c r="R37" i="2"/>
  <c r="J24" i="2"/>
  <c r="J69" i="2" s="1"/>
  <c r="J86" i="2" s="1"/>
  <c r="J89" i="2" s="1"/>
  <c r="J38" i="2"/>
  <c r="J39" i="2"/>
  <c r="F24" i="2"/>
  <c r="F39" i="2"/>
  <c r="F38" i="2"/>
  <c r="L24" i="2"/>
  <c r="L69" i="2" s="1"/>
  <c r="L86" i="2" s="1"/>
  <c r="L89" i="2" s="1"/>
  <c r="L39" i="2"/>
  <c r="L38" i="2"/>
  <c r="P24" i="2"/>
  <c r="P38" i="2"/>
  <c r="P39" i="2"/>
  <c r="Q24" i="2"/>
  <c r="Q38" i="2"/>
  <c r="Q39" i="2"/>
  <c r="G24" i="2"/>
  <c r="G69" i="2" s="1"/>
  <c r="G86" i="2" s="1"/>
  <c r="G89" i="2" s="1"/>
  <c r="G38" i="2"/>
  <c r="G39" i="2"/>
  <c r="K24" i="2"/>
  <c r="K69" i="2" s="1"/>
  <c r="K86" i="2" s="1"/>
  <c r="K89" i="2" s="1"/>
  <c r="K38" i="2"/>
  <c r="K39" i="2"/>
  <c r="H24" i="2"/>
  <c r="H69" i="2" s="1"/>
  <c r="H86" i="2" s="1"/>
  <c r="H89" i="2" s="1"/>
  <c r="H38" i="2"/>
  <c r="H39" i="2"/>
  <c r="AD89" i="2" l="1"/>
  <c r="AC89" i="2"/>
  <c r="R89" i="2"/>
  <c r="N87" i="2"/>
  <c r="N89" i="2"/>
  <c r="S89" i="2" s="1"/>
  <c r="H87" i="2"/>
  <c r="I87" i="2"/>
  <c r="M87" i="2"/>
  <c r="J87" i="2"/>
  <c r="L87" i="2"/>
  <c r="U32" i="2"/>
  <c r="S21" i="2"/>
  <c r="S37" i="2"/>
  <c r="V9" i="2"/>
  <c r="V11" i="2" s="1"/>
  <c r="W6" i="2"/>
  <c r="V29" i="2"/>
  <c r="V8" i="2"/>
  <c r="N26" i="2"/>
  <c r="N40" i="2"/>
  <c r="T34" i="2"/>
  <c r="T16" i="2"/>
  <c r="M40" i="2"/>
  <c r="M26" i="2"/>
  <c r="U12" i="2"/>
  <c r="U31" i="2"/>
  <c r="Z30" i="2"/>
  <c r="Y10" i="2"/>
  <c r="X33" i="2"/>
  <c r="W36" i="2"/>
  <c r="W35" i="2"/>
  <c r="K26" i="2"/>
  <c r="K40" i="2"/>
  <c r="I26" i="2"/>
  <c r="I40" i="2"/>
  <c r="G26" i="2"/>
  <c r="G40" i="2"/>
  <c r="P26" i="2"/>
  <c r="P40" i="2"/>
  <c r="J26" i="2"/>
  <c r="J40" i="2"/>
  <c r="R24" i="2"/>
  <c r="R69" i="2" s="1"/>
  <c r="R86" i="2" s="1"/>
  <c r="R38" i="2"/>
  <c r="R39" i="2"/>
  <c r="L26" i="2"/>
  <c r="L40" i="2"/>
  <c r="H26" i="2"/>
  <c r="H40" i="2"/>
  <c r="Q26" i="2"/>
  <c r="Q40" i="2"/>
  <c r="F26" i="2"/>
  <c r="F40" i="2"/>
  <c r="E26" i="2"/>
  <c r="E40" i="2"/>
  <c r="V31" i="2" l="1"/>
  <c r="V12" i="2"/>
  <c r="U34" i="2"/>
  <c r="U16" i="2"/>
  <c r="V32" i="2"/>
  <c r="W9" i="2"/>
  <c r="W11" i="2" s="1"/>
  <c r="X6" i="2"/>
  <c r="W29" i="2"/>
  <c r="W8" i="2"/>
  <c r="W31" i="2" s="1"/>
  <c r="T37" i="2"/>
  <c r="T21" i="2"/>
  <c r="S24" i="2"/>
  <c r="S69" i="2" s="1"/>
  <c r="S86" i="2" s="1"/>
  <c r="S39" i="2"/>
  <c r="S38" i="2"/>
  <c r="Y33" i="2"/>
  <c r="AA30" i="2"/>
  <c r="Z10" i="2"/>
  <c r="X36" i="2"/>
  <c r="X35" i="2"/>
  <c r="R26" i="2"/>
  <c r="R40" i="2"/>
  <c r="W12" i="2" l="1"/>
  <c r="W34" i="2" s="1"/>
  <c r="W32" i="2"/>
  <c r="Y6" i="2"/>
  <c r="X9" i="2"/>
  <c r="X11" i="2" s="1"/>
  <c r="X29" i="2"/>
  <c r="X8" i="2"/>
  <c r="X31" i="2" s="1"/>
  <c r="S26" i="2"/>
  <c r="S40" i="2"/>
  <c r="T24" i="2"/>
  <c r="T69" i="2" s="1"/>
  <c r="T39" i="2"/>
  <c r="T38" i="2"/>
  <c r="U21" i="2"/>
  <c r="U37" i="2"/>
  <c r="V34" i="2"/>
  <c r="V16" i="2"/>
  <c r="AB30" i="2"/>
  <c r="AA10" i="2"/>
  <c r="Z33" i="2"/>
  <c r="Y36" i="2"/>
  <c r="Y35" i="2"/>
  <c r="W16" i="2" l="1"/>
  <c r="W37" i="2" s="1"/>
  <c r="X32" i="2"/>
  <c r="X12" i="2"/>
  <c r="X34" i="2" s="1"/>
  <c r="T26" i="2"/>
  <c r="T40" i="2"/>
  <c r="U38" i="2"/>
  <c r="U39" i="2"/>
  <c r="U24" i="2"/>
  <c r="U69" i="2" s="1"/>
  <c r="V37" i="2"/>
  <c r="V21" i="2"/>
  <c r="Z6" i="2"/>
  <c r="Y9" i="2"/>
  <c r="Y11" i="2" s="1"/>
  <c r="Y29" i="2"/>
  <c r="Y8" i="2"/>
  <c r="Y31" i="2" s="1"/>
  <c r="AA33" i="2"/>
  <c r="AB10" i="2"/>
  <c r="Z36" i="2"/>
  <c r="Z35" i="2"/>
  <c r="W21" i="2" l="1"/>
  <c r="W24" i="2" s="1"/>
  <c r="W69" i="2" s="1"/>
  <c r="X16" i="2"/>
  <c r="X37" i="2" s="1"/>
  <c r="Y12" i="2"/>
  <c r="Y34" i="2" s="1"/>
  <c r="Y32" i="2"/>
  <c r="V38" i="2"/>
  <c r="V24" i="2"/>
  <c r="V69" i="2" s="1"/>
  <c r="V39" i="2"/>
  <c r="AA6" i="2"/>
  <c r="Z9" i="2"/>
  <c r="Z11" i="2" s="1"/>
  <c r="Z29" i="2"/>
  <c r="Z8" i="2"/>
  <c r="Z31" i="2" s="1"/>
  <c r="U26" i="2"/>
  <c r="U40" i="2"/>
  <c r="AD30" i="2"/>
  <c r="AC10" i="2"/>
  <c r="AC30" i="2"/>
  <c r="AB33" i="2"/>
  <c r="AA36" i="2"/>
  <c r="AA35" i="2"/>
  <c r="Y16" i="2" l="1"/>
  <c r="Y21" i="2" s="1"/>
  <c r="W39" i="2"/>
  <c r="W38" i="2"/>
  <c r="X21" i="2"/>
  <c r="X39" i="2" s="1"/>
  <c r="Z32" i="2"/>
  <c r="Z12" i="2"/>
  <c r="AB6" i="2"/>
  <c r="AA9" i="2"/>
  <c r="AA11" i="2" s="1"/>
  <c r="AA29" i="2"/>
  <c r="AA8" i="2"/>
  <c r="AA31" i="2" s="1"/>
  <c r="W26" i="2"/>
  <c r="W40" i="2"/>
  <c r="V40" i="2"/>
  <c r="V26" i="2"/>
  <c r="AD10" i="2"/>
  <c r="AC33" i="2"/>
  <c r="AB36" i="2"/>
  <c r="AB35" i="2"/>
  <c r="Y37" i="2" l="1"/>
  <c r="X38" i="2"/>
  <c r="X24" i="2"/>
  <c r="AA12" i="2"/>
  <c r="AA34" i="2" s="1"/>
  <c r="AC6" i="2"/>
  <c r="AB9" i="2"/>
  <c r="AB11" i="2" s="1"/>
  <c r="AB29" i="2"/>
  <c r="AB8" i="2"/>
  <c r="AB31" i="2" s="1"/>
  <c r="Y39" i="2"/>
  <c r="Y24" i="2"/>
  <c r="Y69" i="2" s="1"/>
  <c r="Y38" i="2"/>
  <c r="AA32" i="2"/>
  <c r="Z34" i="2"/>
  <c r="Z16" i="2"/>
  <c r="AD33" i="2"/>
  <c r="AD36" i="2"/>
  <c r="AC36" i="2"/>
  <c r="AC35" i="2"/>
  <c r="AD35" i="2"/>
  <c r="X26" i="2" l="1"/>
  <c r="X69" i="2"/>
  <c r="AB32" i="2"/>
  <c r="X40" i="2"/>
  <c r="AA16" i="2"/>
  <c r="AA37" i="2" s="1"/>
  <c r="AB12" i="2"/>
  <c r="Z21" i="2"/>
  <c r="Z37" i="2"/>
  <c r="AD6" i="2"/>
  <c r="AC9" i="2"/>
  <c r="AC11" i="2" s="1"/>
  <c r="AC29" i="2"/>
  <c r="AC8" i="2"/>
  <c r="AC31" i="2" s="1"/>
  <c r="Y26" i="2"/>
  <c r="Y40" i="2"/>
  <c r="AC32" i="2" l="1"/>
  <c r="AA21" i="2"/>
  <c r="AA39" i="2" s="1"/>
  <c r="Z24" i="2"/>
  <c r="Z69" i="2" s="1"/>
  <c r="Z38" i="2"/>
  <c r="Z39" i="2"/>
  <c r="AB34" i="2"/>
  <c r="AB16" i="2"/>
  <c r="AC12" i="2"/>
  <c r="AD9" i="2"/>
  <c r="AD11" i="2" s="1"/>
  <c r="AD29" i="2"/>
  <c r="AD8" i="2"/>
  <c r="AD31" i="2" s="1"/>
  <c r="AA38" i="2" l="1"/>
  <c r="AA24" i="2"/>
  <c r="AD12" i="2"/>
  <c r="AD16" i="2" s="1"/>
  <c r="Z26" i="2"/>
  <c r="Z40" i="2"/>
  <c r="AC34" i="2"/>
  <c r="AC16" i="2"/>
  <c r="AB37" i="2"/>
  <c r="AB21" i="2"/>
  <c r="AD32" i="2"/>
  <c r="AA40" i="2" l="1"/>
  <c r="AA69" i="2"/>
  <c r="AA26" i="2"/>
  <c r="AD34" i="2"/>
  <c r="AC37" i="2"/>
  <c r="AC21" i="2"/>
  <c r="AD37" i="2"/>
  <c r="AD21" i="2"/>
  <c r="AB38" i="2"/>
  <c r="AB39" i="2"/>
  <c r="AB24" i="2"/>
  <c r="AB69" i="2" s="1"/>
  <c r="AD39" i="2" l="1"/>
  <c r="AD38" i="2"/>
  <c r="AD24" i="2"/>
  <c r="AD69" i="2" s="1"/>
  <c r="AB26" i="2"/>
  <c r="AB40" i="2"/>
  <c r="AC38" i="2"/>
  <c r="AC39" i="2"/>
  <c r="AC24" i="2"/>
  <c r="AC69" i="2" s="1"/>
  <c r="AE24" i="2" l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AG32" i="2" s="1"/>
  <c r="AG34" i="2" s="1"/>
  <c r="AG35" i="2" s="1"/>
  <c r="AG37" i="2" s="1"/>
  <c r="AD26" i="2"/>
  <c r="AD40" i="2"/>
  <c r="AC40" i="2"/>
  <c r="AC26" i="2"/>
</calcChain>
</file>

<file path=xl/sharedStrings.xml><?xml version="1.0" encoding="utf-8"?>
<sst xmlns="http://schemas.openxmlformats.org/spreadsheetml/2006/main" count="143" uniqueCount="106">
  <si>
    <t>NKLA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</si>
  <si>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</si>
  <si>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</si>
  <si>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</si>
  <si>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</si>
  <si>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</si>
  <si>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</si>
  <si>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</si>
  <si>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</si>
  <si>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</si>
  <si>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</si>
  <si>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</si>
  <si>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</si>
  <si>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</si>
  <si>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</si>
  <si>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</si>
  <si>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</si>
  <si>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</si>
  <si>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</si>
  <si>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</si>
  <si>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</si>
  <si>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</si>
  <si>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</si>
  <si>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Truck revenue</t>
  </si>
  <si>
    <t>Service revenue</t>
  </si>
  <si>
    <t>Total revenue</t>
  </si>
  <si>
    <t>Truck cost</t>
  </si>
  <si>
    <t>Service cost</t>
  </si>
  <si>
    <t>Total cost of sales</t>
  </si>
  <si>
    <t>Gross profit</t>
  </si>
  <si>
    <t>R&amp;D</t>
  </si>
  <si>
    <t>SG&amp;A</t>
  </si>
  <si>
    <t>Other operating expense</t>
  </si>
  <si>
    <t>Operating profit</t>
  </si>
  <si>
    <t>Net interest expense</t>
  </si>
  <si>
    <t>Financial income</t>
  </si>
  <si>
    <t>Financial expense</t>
  </si>
  <si>
    <t>Other income</t>
  </si>
  <si>
    <t>Pretax profit</t>
  </si>
  <si>
    <t>Taxes</t>
  </si>
  <si>
    <t>MI</t>
  </si>
  <si>
    <t>Net profit</t>
  </si>
  <si>
    <t>EPS</t>
  </si>
  <si>
    <t>Truck revenue y/y</t>
  </si>
  <si>
    <t>Service revenue y/y</t>
  </si>
  <si>
    <t>Revenue y/y</t>
  </si>
  <si>
    <t>Truck Margin</t>
  </si>
  <si>
    <t>Service Margin</t>
  </si>
  <si>
    <t>Gross Margin</t>
  </si>
  <si>
    <t>R&amp;D y/y</t>
  </si>
  <si>
    <t>SG&amp;A y/y</t>
  </si>
  <si>
    <t>Operating Margin</t>
  </si>
  <si>
    <t>Net Margin</t>
  </si>
  <si>
    <t>Trucks delivered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</si>
  <si>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</si>
  <si>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</si>
  <si>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</si>
  <si>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</si>
  <si>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</si>
  <si>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</si>
  <si>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</si>
  <si>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</si>
  <si>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</si>
  <si>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Trucks produced</t>
  </si>
  <si>
    <t>Trucks produced q/q</t>
  </si>
  <si>
    <t>Nikola Hydrogen FCEV</t>
  </si>
  <si>
    <t>Roughly $400,000</t>
  </si>
  <si>
    <t>Products</t>
  </si>
  <si>
    <t>Heavily undervalued</t>
  </si>
  <si>
    <t>Restricted cash</t>
  </si>
  <si>
    <t>A/R</t>
  </si>
  <si>
    <t>Inventories</t>
  </si>
  <si>
    <t>Prepaids</t>
  </si>
  <si>
    <t>Deposits</t>
  </si>
  <si>
    <t>PP&amp;E</t>
  </si>
  <si>
    <t>Intangibles</t>
  </si>
  <si>
    <t>Investment</t>
  </si>
  <si>
    <t>Goodwill</t>
  </si>
  <si>
    <t>ONCA</t>
  </si>
  <si>
    <t>A/P</t>
  </si>
  <si>
    <t>A/L</t>
  </si>
  <si>
    <t>Operating leases</t>
  </si>
  <si>
    <t>ONCL</t>
  </si>
  <si>
    <t>Current assets</t>
  </si>
  <si>
    <t>Non-current assets</t>
  </si>
  <si>
    <t>Total assets</t>
  </si>
  <si>
    <t>Current liabilities</t>
  </si>
  <si>
    <t>Non-current liabilities</t>
  </si>
  <si>
    <t>S/E</t>
  </si>
  <si>
    <t>L+S/E</t>
  </si>
  <si>
    <t>D&amp;A</t>
  </si>
  <si>
    <t>SBC</t>
  </si>
  <si>
    <t>Loss in affiliates</t>
  </si>
  <si>
    <t>Revaluation</t>
  </si>
  <si>
    <t>Inventories loss</t>
  </si>
  <si>
    <t>Non-cash interest expense</t>
  </si>
  <si>
    <t>Loss on disposal</t>
  </si>
  <si>
    <t>Other non-cash expense</t>
  </si>
  <si>
    <t>Other assets</t>
  </si>
  <si>
    <t>CFFO</t>
  </si>
  <si>
    <t>Trailing CFFO</t>
  </si>
  <si>
    <t>CapEx</t>
  </si>
  <si>
    <t>CapEx y/y</t>
  </si>
  <si>
    <t>FCF</t>
  </si>
  <si>
    <t>FCF y/y</t>
  </si>
  <si>
    <t>NPV (FCF)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</si>
</sst>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4" fillId="0" borderId="0" xfId="0" applyNumberFormat="1" applyFont="1"/>
    <xf numFmtId="0" fontId="4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0</xdr:row>
      <xdr:rowOff>0</xdr:rowOff>
    </xdr:from>
    <xdr:to>
      <xdr:col>13</xdr:col>
      <xdr:colOff>22860</xdr:colOff>
      <xdr:row>110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5D86967-5FE7-2450-3095-792BF75F4A1E}"/>
            </a:ext>
          </a:extLst>
        </xdr:cNvPr>
        <xdr:cNvCxnSpPr/>
      </xdr:nvCxnSpPr>
      <xdr:spPr>
        <a:xfrm>
          <a:off x="8907780" y="0"/>
          <a:ext cx="0" cy="1931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0</xdr:row>
      <xdr:rowOff>7620</xdr:rowOff>
    </xdr:from>
    <xdr:to>
      <xdr:col>18</xdr:col>
      <xdr:colOff>22860</xdr:colOff>
      <xdr:row>98</xdr:row>
      <xdr:rowOff>60960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025E971-BE3A-7697-099B-96EED629ADBA}"/>
            </a:ext>
          </a:extLst>
        </xdr:cNvPr>
        <xdr:cNvCxnSpPr/>
      </xdr:nvCxnSpPr>
      <xdr:spPr>
        <a:xfrm>
          <a:off x="11955780" y="7620"/>
          <a:ext cx="0" cy="17061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DC86-4A13-4414-9831-3E6066C55E23}">
  <dimension ref="B2:L9"/>
  <sheetViews>
    <sheetView workbookViewId="0">
      <selection activeCell="D4" sqref="D4"/>
    </sheetView>
  </sheetViews>
  <sheetFormatPr defaultRowHeight="14.4" x14ac:dyDescent="0.3"/>
  <cols>
    <col min="6" max="8" width="14.6640625" style="4" customWidth="1"/>
    <col min="11" max="11" width="21.109375" customWidth="1"/>
    <col min="12" max="12" width="17.109375" customWidth="1"/>
  </cols>
  <sheetData>
    <row r="2" spans="2:12" x14ac:dyDescent="0.3">
      <c r="F2" s="4" t="s">
        <v>8</v>
      </c>
      <c r="G2" s="4" t="s">
        <v>9</v>
      </c>
      <c r="H2" s="4" t="s">
        <v>10</v>
      </c>
      <c r="K2" s="4" t="s">
        <v>67</v>
      </c>
      <c r="L2" s="4" t="s">
        <v>1</v>
      </c>
    </row>
    <row r="3" spans="2:12" x14ac:dyDescent="0.3">
      <c r="B3" s="1" t="s">
        <v>0</v>
      </c>
      <c r="C3" t="s">
        <v>1</v>
      </c>
      <c r="D3" s="6">
        <v>3.8</v>
      </c>
      <c r="F3" s="5">
        <v>45597</v>
      </c>
      <c r="G3" s="5">
        <f ca="1">TODAY()</f>
        <v>45604</v>
      </c>
      <c r="H3" s="5">
        <v>45708</v>
      </c>
      <c r="K3" s="3" t="s">
        <v>65</v>
      </c>
      <c r="L3" s="3" t="s">
        <v>66</v>
      </c>
    </row>
    <row r="4" spans="2:12" x14ac:dyDescent="0.3">
      <c r="C4" t="s">
        <v>2</v>
      </c>
      <c r="D4" s="2">
        <v>60.9</v>
      </c>
      <c r="E4" s="4" t="s">
        <v>21</v>
      </c>
    </row>
    <row r="5" spans="2:12" x14ac:dyDescent="0.3">
      <c r="C5" t="s">
        <v>3</v>
      </c>
      <c r="D5" s="2">
        <f>D3*D4</f>
        <v>231.42</v>
      </c>
    </row>
    <row r="6" spans="2:12" x14ac:dyDescent="0.3">
      <c r="C6" t="s">
        <v>4</v>
      </c>
      <c r="D6" s="2">
        <f>198.3+3.4+16.1+17.3+56.2</f>
        <v>291.3</v>
      </c>
      <c r="E6" s="4" t="s">
        <v>21</v>
      </c>
    </row>
    <row r="7" spans="2:12" x14ac:dyDescent="0.3">
      <c r="C7" t="s">
        <v>5</v>
      </c>
      <c r="D7" s="2">
        <f>73.1+270</f>
        <v>343.1</v>
      </c>
      <c r="E7" s="4" t="s">
        <v>21</v>
      </c>
    </row>
    <row r="8" spans="2:12" x14ac:dyDescent="0.3">
      <c r="C8" t="s">
        <v>6</v>
      </c>
      <c r="D8" s="2">
        <f>D6-D7</f>
        <v>-51.800000000000011</v>
      </c>
    </row>
    <row r="9" spans="2:12" x14ac:dyDescent="0.3">
      <c r="C9" t="s">
        <v>7</v>
      </c>
      <c r="D9" s="2">
        <f>D5-D8</f>
        <v>283.22000000000003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E56B-08A5-40E9-8D99-83451C85BDE5}">
  <dimension ref="B2:EO110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N25" sqref="N25"/>
    </sheetView>
  </sheetViews>
  <sheetFormatPr defaultRowHeight="14.4" x14ac:dyDescent="0.3"/>
  <cols>
    <col min="2" max="2" width="22.88671875" bestFit="1" customWidth="1"/>
    <col min="32" max="32" width="13.21875" customWidth="1"/>
    <col min="33" max="33" width="18.5546875" customWidth="1"/>
  </cols>
  <sheetData>
    <row r="2" spans="2:30" x14ac:dyDescent="0.3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P2">
        <v>2021</v>
      </c>
      <c r="Q2">
        <v>2022</v>
      </c>
      <c r="R2">
        <v>2023</v>
      </c>
      <c r="S2">
        <v>2024</v>
      </c>
      <c r="T2">
        <v>2025</v>
      </c>
      <c r="U2">
        <v>2026</v>
      </c>
      <c r="V2">
        <v>2027</v>
      </c>
      <c r="W2">
        <v>2028</v>
      </c>
      <c r="X2">
        <v>2029</v>
      </c>
      <c r="Y2">
        <v>2030</v>
      </c>
      <c r="Z2">
        <v>2031</v>
      </c>
      <c r="AA2">
        <v>2032</v>
      </c>
      <c r="AB2">
        <v>2033</v>
      </c>
      <c r="AC2">
        <v>2034</v>
      </c>
      <c r="AD2">
        <v>2035</v>
      </c>
    </row>
    <row r="3" spans="2:30" x14ac:dyDescent="0.3">
      <c r="B3" t="s">
        <v>63</v>
      </c>
      <c r="C3" s="3"/>
      <c r="D3" s="3"/>
      <c r="E3" s="3"/>
      <c r="F3" s="3"/>
      <c r="G3" s="3"/>
      <c r="H3" s="3"/>
      <c r="I3" s="3"/>
      <c r="J3" s="3">
        <v>42</v>
      </c>
      <c r="K3" s="3">
        <v>43</v>
      </c>
      <c r="L3" s="3">
        <v>77</v>
      </c>
      <c r="M3" s="3">
        <v>83</v>
      </c>
      <c r="N3" s="3">
        <v>110</v>
      </c>
      <c r="S3">
        <f>SUM(K3:N3)</f>
        <v>313</v>
      </c>
    </row>
    <row r="4" spans="2:30" x14ac:dyDescent="0.3">
      <c r="B4" t="s">
        <v>53</v>
      </c>
      <c r="C4" s="3"/>
      <c r="D4" s="3"/>
      <c r="E4" s="3"/>
      <c r="F4" s="3"/>
      <c r="G4" s="3"/>
      <c r="H4" s="3"/>
      <c r="I4" s="3"/>
      <c r="J4" s="3">
        <v>35</v>
      </c>
      <c r="K4" s="3">
        <v>40</v>
      </c>
      <c r="L4" s="3">
        <v>73</v>
      </c>
      <c r="M4" s="3">
        <v>90</v>
      </c>
      <c r="N4" s="3"/>
    </row>
    <row r="5" spans="2:30" x14ac:dyDescent="0.3">
      <c r="C5" s="3"/>
      <c r="D5" s="3"/>
      <c r="E5" s="3"/>
      <c r="F5" s="3"/>
      <c r="G5" s="3"/>
      <c r="H5" s="3"/>
      <c r="I5" s="3"/>
      <c r="J5" s="3">
        <f>J6/J3</f>
        <v>0.24761904761904763</v>
      </c>
      <c r="K5" s="3">
        <f>K6/K3</f>
        <v>0.17209302325581396</v>
      </c>
      <c r="L5" s="3">
        <f>L6/L3</f>
        <v>0.37272727272727274</v>
      </c>
      <c r="M5" s="3">
        <f>M6/M3</f>
        <v>0.29879518072289157</v>
      </c>
      <c r="N5" s="3">
        <f>N6/N3</f>
        <v>0.4</v>
      </c>
      <c r="S5" s="3">
        <f>S6/S3</f>
        <v>0.33514376996805112</v>
      </c>
    </row>
    <row r="6" spans="2:30" x14ac:dyDescent="0.3">
      <c r="B6" t="s">
        <v>23</v>
      </c>
      <c r="E6" s="2">
        <v>23.9</v>
      </c>
      <c r="F6" s="2">
        <v>4.7</v>
      </c>
      <c r="G6" s="2">
        <v>10.1</v>
      </c>
      <c r="H6" s="2">
        <v>12</v>
      </c>
      <c r="I6" s="2">
        <v>-2.4</v>
      </c>
      <c r="J6" s="2">
        <v>10.4</v>
      </c>
      <c r="K6" s="2">
        <v>7.4</v>
      </c>
      <c r="L6" s="2">
        <v>28.7</v>
      </c>
      <c r="M6" s="2">
        <v>24.8</v>
      </c>
      <c r="N6" s="2">
        <f>N3*0.4</f>
        <v>44</v>
      </c>
      <c r="P6" s="2">
        <v>0</v>
      </c>
      <c r="Q6" s="2">
        <v>45.9</v>
      </c>
      <c r="R6" s="2">
        <f>SUM(G6:J6)</f>
        <v>30.1</v>
      </c>
      <c r="S6" s="2">
        <f>SUM(K6:N6)</f>
        <v>104.9</v>
      </c>
      <c r="T6" s="2">
        <f>S6*4</f>
        <v>419.6</v>
      </c>
      <c r="U6" s="2">
        <f>T6*1.8</f>
        <v>755.28000000000009</v>
      </c>
      <c r="V6" s="2">
        <f>U6*1.6</f>
        <v>1208.4480000000001</v>
      </c>
      <c r="W6" s="2">
        <f>V6*1.4</f>
        <v>1691.8271999999999</v>
      </c>
      <c r="X6" s="2">
        <f>W6*1.3</f>
        <v>2199.37536</v>
      </c>
      <c r="Y6" s="2">
        <f>X6*1.2</f>
        <v>2639.2504319999998</v>
      </c>
      <c r="Z6" s="2">
        <f>Y6*1.15</f>
        <v>3035.1379967999997</v>
      </c>
      <c r="AA6" s="2">
        <f>Z6*1.1</f>
        <v>3338.65179648</v>
      </c>
      <c r="AB6" s="2">
        <f>AA6*1.08</f>
        <v>3605.7439401984002</v>
      </c>
      <c r="AC6" s="2">
        <f>AB6*1.05</f>
        <v>3786.0311372083202</v>
      </c>
      <c r="AD6" s="2">
        <f>AC6*1.05</f>
        <v>3975.3326940687361</v>
      </c>
    </row>
    <row r="7" spans="2:30" x14ac:dyDescent="0.3">
      <c r="B7" t="s">
        <v>24</v>
      </c>
      <c r="E7" s="2">
        <v>0.4</v>
      </c>
      <c r="F7" s="2">
        <v>0.8</v>
      </c>
      <c r="G7" s="2">
        <v>0.6</v>
      </c>
      <c r="H7" s="2">
        <v>3.4</v>
      </c>
      <c r="I7" s="2">
        <v>0.6</v>
      </c>
      <c r="J7" s="2">
        <v>1.2</v>
      </c>
      <c r="K7" s="2">
        <v>0.1</v>
      </c>
      <c r="L7" s="2">
        <v>2.6</v>
      </c>
      <c r="M7" s="2">
        <v>0.3</v>
      </c>
      <c r="N7" s="2">
        <v>4</v>
      </c>
      <c r="P7" s="2">
        <v>0</v>
      </c>
      <c r="Q7" s="2">
        <v>3.8</v>
      </c>
      <c r="R7" s="2">
        <f>SUM(G7:J7)</f>
        <v>5.8</v>
      </c>
      <c r="S7" s="2">
        <f>SUM(K7:N7)</f>
        <v>7</v>
      </c>
      <c r="T7" s="2">
        <f>S7*2</f>
        <v>14</v>
      </c>
      <c r="U7" s="2">
        <f>T7*1.8</f>
        <v>25.2</v>
      </c>
      <c r="V7" s="2">
        <f>U7*1.5</f>
        <v>37.799999999999997</v>
      </c>
      <c r="W7" s="2">
        <f>V7*1.4</f>
        <v>52.919999999999995</v>
      </c>
      <c r="X7" s="2">
        <f>W7*1.35</f>
        <v>71.441999999999993</v>
      </c>
      <c r="Y7" s="2">
        <f>X7*1.3</f>
        <v>92.874600000000001</v>
      </c>
      <c r="Z7" s="2">
        <f t="shared" ref="Z7:AC7" si="0">Y7*1.3</f>
        <v>120.73698</v>
      </c>
      <c r="AA7" s="2">
        <f t="shared" si="0"/>
        <v>156.95807400000001</v>
      </c>
      <c r="AB7" s="2">
        <f t="shared" si="0"/>
        <v>204.04549620000003</v>
      </c>
      <c r="AC7" s="2">
        <f t="shared" si="0"/>
        <v>265.25914506000004</v>
      </c>
      <c r="AD7" s="2">
        <f>AC7*1.2</f>
        <v>318.31097407200002</v>
      </c>
    </row>
    <row r="8" spans="2:30" s="1" customFormat="1" x14ac:dyDescent="0.3">
      <c r="B8" s="1" t="s">
        <v>25</v>
      </c>
      <c r="E8" s="8">
        <f t="shared" ref="E8:L8" si="1">E6+E7</f>
        <v>24.299999999999997</v>
      </c>
      <c r="F8" s="8">
        <f t="shared" si="1"/>
        <v>5.5</v>
      </c>
      <c r="G8" s="8">
        <f t="shared" si="1"/>
        <v>10.7</v>
      </c>
      <c r="H8" s="8">
        <f t="shared" si="1"/>
        <v>15.4</v>
      </c>
      <c r="I8" s="8">
        <f t="shared" si="1"/>
        <v>-1.7999999999999998</v>
      </c>
      <c r="J8" s="8">
        <f t="shared" si="1"/>
        <v>11.6</v>
      </c>
      <c r="K8" s="8">
        <f t="shared" si="1"/>
        <v>7.5</v>
      </c>
      <c r="L8" s="8">
        <f t="shared" si="1"/>
        <v>31.3</v>
      </c>
      <c r="M8" s="8">
        <f t="shared" ref="M8:N8" si="2">M6+M7</f>
        <v>25.1</v>
      </c>
      <c r="N8" s="8">
        <f t="shared" si="2"/>
        <v>48</v>
      </c>
      <c r="P8" s="8">
        <f>P6+P7</f>
        <v>0</v>
      </c>
      <c r="Q8" s="8">
        <f>Q6+Q7</f>
        <v>49.699999999999996</v>
      </c>
      <c r="R8" s="8">
        <f>R6+R7</f>
        <v>35.9</v>
      </c>
      <c r="S8" s="8">
        <f t="shared" ref="S8:AD8" si="3">S6+S7</f>
        <v>111.9</v>
      </c>
      <c r="T8" s="8">
        <f t="shared" si="3"/>
        <v>433.6</v>
      </c>
      <c r="U8" s="8">
        <f t="shared" si="3"/>
        <v>780.48000000000013</v>
      </c>
      <c r="V8" s="8">
        <f t="shared" si="3"/>
        <v>1246.248</v>
      </c>
      <c r="W8" s="8">
        <f t="shared" si="3"/>
        <v>1744.7472</v>
      </c>
      <c r="X8" s="8">
        <f t="shared" si="3"/>
        <v>2270.81736</v>
      </c>
      <c r="Y8" s="8">
        <f t="shared" si="3"/>
        <v>2732.1250319999999</v>
      </c>
      <c r="Z8" s="8">
        <f t="shared" si="3"/>
        <v>3155.8749767999998</v>
      </c>
      <c r="AA8" s="8">
        <f t="shared" si="3"/>
        <v>3495.6098704800002</v>
      </c>
      <c r="AB8" s="8">
        <f t="shared" si="3"/>
        <v>3809.7894363984001</v>
      </c>
      <c r="AC8" s="8">
        <f t="shared" si="3"/>
        <v>4051.29028226832</v>
      </c>
      <c r="AD8" s="8">
        <f t="shared" si="3"/>
        <v>4293.6436681407358</v>
      </c>
    </row>
    <row r="9" spans="2:30" x14ac:dyDescent="0.3">
      <c r="B9" t="s">
        <v>26</v>
      </c>
      <c r="E9" s="2">
        <v>54.1</v>
      </c>
      <c r="F9" s="2">
        <v>31.7</v>
      </c>
      <c r="G9" s="2">
        <v>33</v>
      </c>
      <c r="H9" s="2">
        <v>40.200000000000003</v>
      </c>
      <c r="I9" s="2">
        <v>122.7</v>
      </c>
      <c r="J9" s="2">
        <v>46.6</v>
      </c>
      <c r="K9" s="2">
        <v>61.7</v>
      </c>
      <c r="L9" s="2">
        <v>79</v>
      </c>
      <c r="M9" s="2">
        <v>82.2</v>
      </c>
      <c r="N9" s="2">
        <f>N6*2.3</f>
        <v>101.19999999999999</v>
      </c>
      <c r="P9" s="2">
        <v>0</v>
      </c>
      <c r="Q9" s="2">
        <v>132.6</v>
      </c>
      <c r="R9" s="2">
        <f>SUM(G9:J9)</f>
        <v>242.5</v>
      </c>
      <c r="S9" s="2">
        <f>SUM(K9:N9)</f>
        <v>324.09999999999997</v>
      </c>
      <c r="T9" s="2">
        <f>T6*1.4</f>
        <v>587.43999999999994</v>
      </c>
      <c r="U9" s="2">
        <f>U6*1.1</f>
        <v>830.80800000000011</v>
      </c>
      <c r="V9" s="2">
        <f>V6*0.95</f>
        <v>1148.0255999999999</v>
      </c>
      <c r="W9" s="2">
        <f>W6*0.9</f>
        <v>1522.6444799999999</v>
      </c>
      <c r="X9" s="2">
        <f>X6*0.88</f>
        <v>1935.4503168000001</v>
      </c>
      <c r="Y9" s="2">
        <f>Y6*0.86</f>
        <v>2269.7553715199997</v>
      </c>
      <c r="Z9" s="2">
        <f>Z6*0.85</f>
        <v>2579.8672972799995</v>
      </c>
      <c r="AA9" s="2">
        <f>AA6*0.84</f>
        <v>2804.4675090431997</v>
      </c>
      <c r="AB9" s="2">
        <f>AB6*0.83</f>
        <v>2992.7674703646721</v>
      </c>
      <c r="AC9" s="2">
        <f>AC6*0.82</f>
        <v>3104.5455325108223</v>
      </c>
      <c r="AD9" s="2">
        <f>AD6*0.82</f>
        <v>3259.7728091363633</v>
      </c>
    </row>
    <row r="10" spans="2:30" x14ac:dyDescent="0.3">
      <c r="B10" t="s">
        <v>27</v>
      </c>
      <c r="E10" s="2">
        <v>0.3</v>
      </c>
      <c r="F10" s="2">
        <v>0.8</v>
      </c>
      <c r="G10" s="2">
        <v>0.4</v>
      </c>
      <c r="H10" s="2">
        <v>2.8</v>
      </c>
      <c r="I10" s="2">
        <v>1.1000000000000001</v>
      </c>
      <c r="J10" s="2">
        <v>3.2</v>
      </c>
      <c r="K10" s="2">
        <v>3.3</v>
      </c>
      <c r="L10" s="2">
        <v>7.1</v>
      </c>
      <c r="M10" s="2">
        <v>4.9000000000000004</v>
      </c>
      <c r="N10" s="2">
        <f t="shared" ref="N10" si="4">N7*2.4</f>
        <v>9.6</v>
      </c>
      <c r="P10" s="2">
        <v>0</v>
      </c>
      <c r="Q10" s="2">
        <v>3.1</v>
      </c>
      <c r="R10" s="2">
        <f>SUM(G10:J10)</f>
        <v>7.5</v>
      </c>
      <c r="S10" s="2">
        <f>SUM(K10:N10)</f>
        <v>24.9</v>
      </c>
      <c r="T10" s="2">
        <f>T7*2.2</f>
        <v>30.800000000000004</v>
      </c>
      <c r="U10" s="2">
        <f>U7*1.8</f>
        <v>45.36</v>
      </c>
      <c r="V10" s="2">
        <f>V7*1.5</f>
        <v>56.699999999999996</v>
      </c>
      <c r="W10" s="2">
        <f>W7*1.3</f>
        <v>68.795999999999992</v>
      </c>
      <c r="X10" s="2">
        <f>X7*1.2</f>
        <v>85.730399999999989</v>
      </c>
      <c r="Y10" s="2">
        <f>Y7*1.1</f>
        <v>102.16206000000001</v>
      </c>
      <c r="Z10" s="2">
        <f>Z7*1</f>
        <v>120.73698</v>
      </c>
      <c r="AA10" s="2">
        <f>AA7*0.9</f>
        <v>141.2622666</v>
      </c>
      <c r="AB10" s="2">
        <f>AB7*0.85</f>
        <v>173.43867177000001</v>
      </c>
      <c r="AC10" s="2">
        <f>AC7*0.8</f>
        <v>212.20731604800005</v>
      </c>
      <c r="AD10" s="2">
        <f>AD7*0.75</f>
        <v>238.73323055400002</v>
      </c>
    </row>
    <row r="11" spans="2:30" x14ac:dyDescent="0.3">
      <c r="B11" t="s">
        <v>28</v>
      </c>
      <c r="E11" s="2">
        <f t="shared" ref="E11:L11" si="5">E9+E10</f>
        <v>54.4</v>
      </c>
      <c r="F11" s="2">
        <f t="shared" si="5"/>
        <v>32.5</v>
      </c>
      <c r="G11" s="2">
        <f t="shared" si="5"/>
        <v>33.4</v>
      </c>
      <c r="H11" s="2">
        <f t="shared" si="5"/>
        <v>43</v>
      </c>
      <c r="I11" s="2">
        <f t="shared" si="5"/>
        <v>123.8</v>
      </c>
      <c r="J11" s="2">
        <f t="shared" si="5"/>
        <v>49.800000000000004</v>
      </c>
      <c r="K11" s="2">
        <f t="shared" si="5"/>
        <v>65</v>
      </c>
      <c r="L11" s="2">
        <f t="shared" si="5"/>
        <v>86.1</v>
      </c>
      <c r="M11" s="2">
        <f t="shared" ref="M11:N11" si="6">M9+M10</f>
        <v>87.100000000000009</v>
      </c>
      <c r="N11" s="2">
        <f t="shared" si="6"/>
        <v>110.79999999999998</v>
      </c>
      <c r="P11" s="2">
        <f>P9+P10</f>
        <v>0</v>
      </c>
      <c r="Q11" s="2">
        <f>Q9+Q10</f>
        <v>135.69999999999999</v>
      </c>
      <c r="R11" s="2">
        <f>R9+R10</f>
        <v>250</v>
      </c>
      <c r="S11" s="2">
        <f>S9+S10</f>
        <v>348.99999999999994</v>
      </c>
      <c r="T11" s="2">
        <f t="shared" ref="T11:AD11" si="7">T9+T10</f>
        <v>618.2399999999999</v>
      </c>
      <c r="U11" s="2">
        <f t="shared" si="7"/>
        <v>876.16800000000012</v>
      </c>
      <c r="V11" s="2">
        <f t="shared" si="7"/>
        <v>1204.7256</v>
      </c>
      <c r="W11" s="2">
        <f t="shared" si="7"/>
        <v>1591.44048</v>
      </c>
      <c r="X11" s="2">
        <f t="shared" si="7"/>
        <v>2021.1807168</v>
      </c>
      <c r="Y11" s="2">
        <f t="shared" si="7"/>
        <v>2371.9174315199998</v>
      </c>
      <c r="Z11" s="2">
        <f t="shared" si="7"/>
        <v>2700.6042772799997</v>
      </c>
      <c r="AA11" s="2">
        <f t="shared" si="7"/>
        <v>2945.7297756431999</v>
      </c>
      <c r="AB11" s="2">
        <f t="shared" si="7"/>
        <v>3166.2061421346721</v>
      </c>
      <c r="AC11" s="2">
        <f t="shared" si="7"/>
        <v>3316.7528485588223</v>
      </c>
      <c r="AD11" s="2">
        <f t="shared" si="7"/>
        <v>3498.5060396903632</v>
      </c>
    </row>
    <row r="12" spans="2:30" s="1" customFormat="1" x14ac:dyDescent="0.3">
      <c r="B12" s="1" t="s">
        <v>29</v>
      </c>
      <c r="E12" s="8">
        <f t="shared" ref="E12:L12" si="8">E8-E11</f>
        <v>-30.1</v>
      </c>
      <c r="F12" s="8">
        <f t="shared" si="8"/>
        <v>-27</v>
      </c>
      <c r="G12" s="8">
        <f t="shared" si="8"/>
        <v>-22.7</v>
      </c>
      <c r="H12" s="8">
        <f t="shared" si="8"/>
        <v>-27.6</v>
      </c>
      <c r="I12" s="8">
        <f t="shared" si="8"/>
        <v>-125.6</v>
      </c>
      <c r="J12" s="8">
        <f t="shared" si="8"/>
        <v>-38.200000000000003</v>
      </c>
      <c r="K12" s="8">
        <f t="shared" si="8"/>
        <v>-57.5</v>
      </c>
      <c r="L12" s="8">
        <f t="shared" si="8"/>
        <v>-54.8</v>
      </c>
      <c r="M12" s="8">
        <f t="shared" ref="M12:N12" si="9">M8-M11</f>
        <v>-62.000000000000007</v>
      </c>
      <c r="N12" s="8">
        <f t="shared" si="9"/>
        <v>-62.799999999999983</v>
      </c>
      <c r="P12" s="8">
        <f>P8-P11</f>
        <v>0</v>
      </c>
      <c r="Q12" s="8">
        <f>Q8-Q11</f>
        <v>-86</v>
      </c>
      <c r="R12" s="8">
        <f>R8-R11</f>
        <v>-214.1</v>
      </c>
      <c r="S12" s="8">
        <f>S8-S11</f>
        <v>-237.09999999999994</v>
      </c>
      <c r="T12" s="8">
        <f t="shared" ref="T12:AD12" si="10">T8-T11</f>
        <v>-184.63999999999987</v>
      </c>
      <c r="U12" s="8">
        <f t="shared" si="10"/>
        <v>-95.687999999999988</v>
      </c>
      <c r="V12" s="8">
        <f t="shared" si="10"/>
        <v>41.522400000000061</v>
      </c>
      <c r="W12" s="8">
        <f t="shared" si="10"/>
        <v>153.30672000000004</v>
      </c>
      <c r="X12" s="8">
        <f t="shared" si="10"/>
        <v>249.63664319999998</v>
      </c>
      <c r="Y12" s="8">
        <f t="shared" si="10"/>
        <v>360.20760048000011</v>
      </c>
      <c r="Z12" s="8">
        <f t="shared" si="10"/>
        <v>455.27069952000011</v>
      </c>
      <c r="AA12" s="8">
        <f t="shared" si="10"/>
        <v>549.88009483680025</v>
      </c>
      <c r="AB12" s="8">
        <f t="shared" si="10"/>
        <v>643.58329426372802</v>
      </c>
      <c r="AC12" s="8">
        <f t="shared" si="10"/>
        <v>734.53743370949769</v>
      </c>
      <c r="AD12" s="8">
        <f t="shared" si="10"/>
        <v>795.13762845037263</v>
      </c>
    </row>
    <row r="13" spans="2:30" x14ac:dyDescent="0.3">
      <c r="B13" t="s">
        <v>30</v>
      </c>
      <c r="E13" s="2">
        <v>66.7</v>
      </c>
      <c r="F13" s="2">
        <v>66.099999999999994</v>
      </c>
      <c r="G13" s="2">
        <v>61.8</v>
      </c>
      <c r="H13" s="2">
        <v>64.5</v>
      </c>
      <c r="I13" s="2">
        <v>42</v>
      </c>
      <c r="J13" s="2">
        <v>39.9</v>
      </c>
      <c r="K13" s="2">
        <v>39.5</v>
      </c>
      <c r="L13" s="2">
        <v>40.200000000000003</v>
      </c>
      <c r="M13" s="2">
        <v>41.8</v>
      </c>
      <c r="N13" s="2">
        <v>40</v>
      </c>
      <c r="P13" s="2">
        <v>293</v>
      </c>
      <c r="Q13" s="2">
        <v>270.5</v>
      </c>
      <c r="R13" s="2">
        <f>SUM(G13:J13)</f>
        <v>208.20000000000002</v>
      </c>
      <c r="S13" s="2">
        <f>SUM(K13:N13)</f>
        <v>161.5</v>
      </c>
      <c r="T13" s="2">
        <f>S13*0.82</f>
        <v>132.42999999999998</v>
      </c>
      <c r="U13" s="2">
        <f>T13*0.93</f>
        <v>123.15989999999999</v>
      </c>
      <c r="V13" s="2">
        <f>U13*1.02</f>
        <v>125.623098</v>
      </c>
      <c r="W13" s="2">
        <f t="shared" ref="W13:AD13" si="11">V13*1.02</f>
        <v>128.13555995999999</v>
      </c>
      <c r="X13" s="2">
        <f t="shared" si="11"/>
        <v>130.6982711592</v>
      </c>
      <c r="Y13" s="2">
        <f t="shared" si="11"/>
        <v>133.312236582384</v>
      </c>
      <c r="Z13" s="2">
        <f t="shared" si="11"/>
        <v>135.97848131403168</v>
      </c>
      <c r="AA13" s="2">
        <f t="shared" si="11"/>
        <v>138.69805094031233</v>
      </c>
      <c r="AB13" s="2">
        <f t="shared" si="11"/>
        <v>141.47201195911859</v>
      </c>
      <c r="AC13" s="2">
        <f t="shared" si="11"/>
        <v>144.30145219830095</v>
      </c>
      <c r="AD13" s="2">
        <f t="shared" si="11"/>
        <v>147.18748124226698</v>
      </c>
    </row>
    <row r="14" spans="2:30" x14ac:dyDescent="0.3">
      <c r="B14" t="s">
        <v>31</v>
      </c>
      <c r="E14" s="2">
        <v>132.9</v>
      </c>
      <c r="F14" s="2">
        <v>56.3</v>
      </c>
      <c r="G14" s="2">
        <v>42.7</v>
      </c>
      <c r="H14" s="2">
        <v>58.8</v>
      </c>
      <c r="I14" s="2">
        <v>58</v>
      </c>
      <c r="J14" s="2">
        <v>39.299999999999997</v>
      </c>
      <c r="K14" s="2">
        <v>48.3</v>
      </c>
      <c r="L14" s="2">
        <v>36.200000000000003</v>
      </c>
      <c r="M14" s="2">
        <v>41.6</v>
      </c>
      <c r="N14" s="2">
        <v>35</v>
      </c>
      <c r="P14" s="2">
        <v>400.6</v>
      </c>
      <c r="Q14" s="2">
        <v>346.2</v>
      </c>
      <c r="R14" s="2">
        <f>SUM(G14:J14)</f>
        <v>198.8</v>
      </c>
      <c r="S14" s="2">
        <f>SUM(K14:N14)</f>
        <v>161.1</v>
      </c>
      <c r="T14" s="2">
        <f>S14*0.87</f>
        <v>140.15699999999998</v>
      </c>
      <c r="U14" s="2">
        <f>T14*0.93</f>
        <v>130.34600999999998</v>
      </c>
      <c r="V14" s="2">
        <f>U14*1.01</f>
        <v>131.64947009999997</v>
      </c>
      <c r="W14" s="2">
        <f t="shared" ref="W14:AD14" si="12">V14*1.01</f>
        <v>132.96596480099998</v>
      </c>
      <c r="X14" s="2">
        <f t="shared" si="12"/>
        <v>134.29562444900998</v>
      </c>
      <c r="Y14" s="2">
        <f t="shared" si="12"/>
        <v>135.63858069350007</v>
      </c>
      <c r="Z14" s="2">
        <f t="shared" si="12"/>
        <v>136.99496650043508</v>
      </c>
      <c r="AA14" s="2">
        <f t="shared" si="12"/>
        <v>138.36491616543944</v>
      </c>
      <c r="AB14" s="2">
        <f t="shared" si="12"/>
        <v>139.74856532709384</v>
      </c>
      <c r="AC14" s="2">
        <f t="shared" si="12"/>
        <v>141.14605098036478</v>
      </c>
      <c r="AD14" s="2">
        <f t="shared" si="12"/>
        <v>142.55751149016842</v>
      </c>
    </row>
    <row r="15" spans="2:30" x14ac:dyDescent="0.3">
      <c r="B15" t="s">
        <v>32</v>
      </c>
      <c r="E15" s="2">
        <v>0</v>
      </c>
      <c r="F15" s="2">
        <v>0</v>
      </c>
      <c r="G15" s="2">
        <v>0</v>
      </c>
      <c r="H15" s="2">
        <v>17.7</v>
      </c>
      <c r="I15" s="2">
        <v>0.7</v>
      </c>
      <c r="J15" s="2">
        <v>10.4</v>
      </c>
      <c r="K15" s="2">
        <v>0</v>
      </c>
      <c r="L15" s="2">
        <v>0</v>
      </c>
      <c r="M15" s="2">
        <v>33.4</v>
      </c>
      <c r="N15" s="2">
        <v>0</v>
      </c>
      <c r="P15" s="2">
        <v>0</v>
      </c>
      <c r="Q15" s="2">
        <v>0</v>
      </c>
      <c r="R15" s="2">
        <f>SUM(G15:J15)</f>
        <v>28.799999999999997</v>
      </c>
      <c r="S15" s="2">
        <f>SUM(K15:N15)</f>
        <v>33.4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</row>
    <row r="16" spans="2:30" s="1" customFormat="1" x14ac:dyDescent="0.3">
      <c r="B16" s="1" t="s">
        <v>33</v>
      </c>
      <c r="E16" s="8">
        <f t="shared" ref="E16:L16" si="13">E12-SUM(E13:E15)</f>
        <v>-229.70000000000002</v>
      </c>
      <c r="F16" s="8">
        <f t="shared" si="13"/>
        <v>-149.39999999999998</v>
      </c>
      <c r="G16" s="8">
        <f t="shared" si="13"/>
        <v>-127.2</v>
      </c>
      <c r="H16" s="8">
        <f t="shared" si="13"/>
        <v>-168.6</v>
      </c>
      <c r="I16" s="8">
        <f t="shared" si="13"/>
        <v>-226.3</v>
      </c>
      <c r="J16" s="8">
        <f t="shared" si="13"/>
        <v>-127.8</v>
      </c>
      <c r="K16" s="8">
        <f t="shared" si="13"/>
        <v>-145.30000000000001</v>
      </c>
      <c r="L16" s="8">
        <f t="shared" si="13"/>
        <v>-131.19999999999999</v>
      </c>
      <c r="M16" s="8">
        <f t="shared" ref="M16:N16" si="14">M12-SUM(M13:M15)</f>
        <v>-178.8</v>
      </c>
      <c r="N16" s="8">
        <f t="shared" si="14"/>
        <v>-137.79999999999998</v>
      </c>
      <c r="P16" s="8">
        <f>P12-SUM(P13:P15)</f>
        <v>-693.6</v>
      </c>
      <c r="Q16" s="8">
        <f>Q12-SUM(Q13:Q15)</f>
        <v>-702.7</v>
      </c>
      <c r="R16" s="8">
        <f>R12-SUM(R13:R15)</f>
        <v>-649.9</v>
      </c>
      <c r="S16" s="8">
        <f>S12-SUM(S13:S15)</f>
        <v>-593.09999999999991</v>
      </c>
      <c r="T16" s="8">
        <f>T12-SUM(T13:T15)</f>
        <v>-457.22699999999986</v>
      </c>
      <c r="U16" s="8">
        <f t="shared" ref="U16:AD16" si="15">U12-SUM(U13:U15)</f>
        <v>-349.19390999999996</v>
      </c>
      <c r="V16" s="8">
        <f t="shared" si="15"/>
        <v>-215.75016809999988</v>
      </c>
      <c r="W16" s="8">
        <f t="shared" si="15"/>
        <v>-107.79480476099991</v>
      </c>
      <c r="X16" s="8">
        <f t="shared" si="15"/>
        <v>-15.357252408210002</v>
      </c>
      <c r="Y16" s="8">
        <f t="shared" si="15"/>
        <v>91.256783204116005</v>
      </c>
      <c r="Z16" s="8">
        <f t="shared" si="15"/>
        <v>182.29725170553331</v>
      </c>
      <c r="AA16" s="8">
        <f t="shared" si="15"/>
        <v>272.81712773104846</v>
      </c>
      <c r="AB16" s="8">
        <f t="shared" si="15"/>
        <v>362.36271697751556</v>
      </c>
      <c r="AC16" s="8">
        <f t="shared" si="15"/>
        <v>449.08993053083196</v>
      </c>
      <c r="AD16" s="8">
        <f t="shared" si="15"/>
        <v>505.3926357179372</v>
      </c>
    </row>
    <row r="17" spans="2:145" x14ac:dyDescent="0.3">
      <c r="B17" t="s">
        <v>34</v>
      </c>
      <c r="E17" s="2">
        <v>7.7</v>
      </c>
      <c r="F17" s="2">
        <v>7</v>
      </c>
      <c r="G17" s="2">
        <v>9.8000000000000007</v>
      </c>
      <c r="H17" s="2">
        <v>8.6999999999999993</v>
      </c>
      <c r="I17" s="2">
        <v>52.7</v>
      </c>
      <c r="J17" s="2">
        <v>4.8</v>
      </c>
      <c r="K17" s="2">
        <v>2.2999999999999998</v>
      </c>
      <c r="L17" s="2">
        <v>3.9</v>
      </c>
      <c r="M17" s="2">
        <v>10.9</v>
      </c>
      <c r="N17" s="2">
        <v>4</v>
      </c>
      <c r="P17" s="2">
        <v>0.5</v>
      </c>
      <c r="Q17" s="2">
        <v>17.7</v>
      </c>
      <c r="R17" s="2">
        <f>SUM(G17:J17)</f>
        <v>76</v>
      </c>
      <c r="S17" s="2">
        <f>SUM(K17:N17)</f>
        <v>21.1</v>
      </c>
      <c r="T17" s="2">
        <f>S17*1.05</f>
        <v>22.155000000000001</v>
      </c>
      <c r="U17" s="2">
        <f t="shared" ref="U17:AD17" si="16">T17*1.05</f>
        <v>23.26275</v>
      </c>
      <c r="V17" s="2">
        <f t="shared" si="16"/>
        <v>24.425887500000002</v>
      </c>
      <c r="W17" s="2">
        <f t="shared" si="16"/>
        <v>25.647181875000005</v>
      </c>
      <c r="X17" s="2">
        <f t="shared" si="16"/>
        <v>26.929540968750008</v>
      </c>
      <c r="Y17" s="2">
        <f t="shared" si="16"/>
        <v>28.276018017187511</v>
      </c>
      <c r="Z17" s="2">
        <f t="shared" si="16"/>
        <v>29.689818918046889</v>
      </c>
      <c r="AA17" s="2">
        <f t="shared" si="16"/>
        <v>31.174309863949233</v>
      </c>
      <c r="AB17" s="2">
        <f t="shared" si="16"/>
        <v>32.733025357146694</v>
      </c>
      <c r="AC17" s="2">
        <f t="shared" si="16"/>
        <v>34.369676625004033</v>
      </c>
      <c r="AD17" s="2">
        <f t="shared" si="16"/>
        <v>36.088160456254236</v>
      </c>
    </row>
    <row r="18" spans="2:145" x14ac:dyDescent="0.3">
      <c r="B18" t="s">
        <v>35</v>
      </c>
      <c r="E18" s="2">
        <v>-0.6</v>
      </c>
      <c r="F18" s="2">
        <v>-0.4</v>
      </c>
      <c r="G18" s="2">
        <v>0</v>
      </c>
      <c r="H18" s="2">
        <v>-70.8</v>
      </c>
      <c r="I18" s="2">
        <v>0</v>
      </c>
      <c r="J18" s="2">
        <v>-0.1</v>
      </c>
      <c r="K18" s="2">
        <v>0.8</v>
      </c>
      <c r="L18" s="2">
        <v>0</v>
      </c>
      <c r="M18" s="2">
        <v>0</v>
      </c>
      <c r="N18" s="2">
        <v>0</v>
      </c>
      <c r="P18" s="2">
        <v>-3.1</v>
      </c>
      <c r="Q18" s="2">
        <v>-3.9</v>
      </c>
      <c r="R18" s="2">
        <f>SUM(G18:J18)</f>
        <v>-70.899999999999991</v>
      </c>
      <c r="S18" s="2">
        <f>SUM(K18:N18)</f>
        <v>0.8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</row>
    <row r="19" spans="2:145" x14ac:dyDescent="0.3">
      <c r="B19" t="s">
        <v>36</v>
      </c>
      <c r="E19" s="2">
        <v>0</v>
      </c>
      <c r="F19" s="2">
        <v>0</v>
      </c>
      <c r="G19" s="2">
        <v>0</v>
      </c>
      <c r="H19" s="2">
        <v>20.399999999999999</v>
      </c>
      <c r="I19" s="2">
        <v>0</v>
      </c>
      <c r="J19" s="2">
        <v>10.7</v>
      </c>
      <c r="K19" s="2">
        <v>0</v>
      </c>
      <c r="L19" s="2">
        <v>1.5</v>
      </c>
      <c r="M19" s="2">
        <v>0.9</v>
      </c>
      <c r="N19" s="2">
        <v>0</v>
      </c>
      <c r="P19" s="2">
        <v>0</v>
      </c>
      <c r="Q19" s="2">
        <v>0</v>
      </c>
      <c r="R19" s="2">
        <f>SUM(G19:J19)</f>
        <v>31.099999999999998</v>
      </c>
      <c r="S19" s="2">
        <f>SUM(K19:N19)</f>
        <v>2.4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</row>
    <row r="20" spans="2:145" x14ac:dyDescent="0.3">
      <c r="B20" t="s">
        <v>37</v>
      </c>
      <c r="E20" s="2">
        <v>-2.6</v>
      </c>
      <c r="F20" s="2">
        <v>5.4</v>
      </c>
      <c r="G20" s="2">
        <v>-0.2</v>
      </c>
      <c r="H20" s="2">
        <v>5.5</v>
      </c>
      <c r="I20" s="2">
        <v>146.69999999999999</v>
      </c>
      <c r="J20" s="2">
        <v>10.3</v>
      </c>
      <c r="K20" s="2">
        <v>-0.9</v>
      </c>
      <c r="L20" s="2">
        <v>-3.9</v>
      </c>
      <c r="M20" s="2">
        <v>9.4</v>
      </c>
      <c r="N20" s="2">
        <v>0</v>
      </c>
      <c r="P20" s="2">
        <v>-4.0999999999999996</v>
      </c>
      <c r="Q20" s="2">
        <v>1</v>
      </c>
      <c r="R20" s="2">
        <f>SUM(G20:J20)</f>
        <v>162.30000000000001</v>
      </c>
      <c r="S20" s="2">
        <f>SUM(K20:N20)</f>
        <v>4.6000000000000005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</row>
    <row r="21" spans="2:145" s="1" customFormat="1" x14ac:dyDescent="0.3">
      <c r="B21" s="1" t="s">
        <v>38</v>
      </c>
      <c r="E21" s="8">
        <f t="shared" ref="E21:L21" si="17">E16-SUM(E17:E20)</f>
        <v>-234.20000000000002</v>
      </c>
      <c r="F21" s="8">
        <f t="shared" si="17"/>
        <v>-161.39999999999998</v>
      </c>
      <c r="G21" s="8">
        <f t="shared" si="17"/>
        <v>-136.80000000000001</v>
      </c>
      <c r="H21" s="8">
        <f t="shared" si="17"/>
        <v>-132.4</v>
      </c>
      <c r="I21" s="8">
        <f t="shared" si="17"/>
        <v>-425.7</v>
      </c>
      <c r="J21" s="8">
        <f t="shared" si="17"/>
        <v>-153.5</v>
      </c>
      <c r="K21" s="8">
        <f t="shared" si="17"/>
        <v>-147.5</v>
      </c>
      <c r="L21" s="8">
        <f t="shared" si="17"/>
        <v>-132.69999999999999</v>
      </c>
      <c r="M21" s="8">
        <f t="shared" ref="M21:N21" si="18">M16-SUM(M17:M20)</f>
        <v>-200</v>
      </c>
      <c r="N21" s="8">
        <f t="shared" si="18"/>
        <v>-141.79999999999998</v>
      </c>
      <c r="P21" s="8">
        <f>P16-SUM(P17:P20)</f>
        <v>-686.9</v>
      </c>
      <c r="Q21" s="8">
        <f>Q16-SUM(Q17:Q20)</f>
        <v>-717.5</v>
      </c>
      <c r="R21" s="8">
        <f>R16-SUM(R17:R20)</f>
        <v>-848.4</v>
      </c>
      <c r="S21" s="8">
        <f>S16-SUM(S17:S20)</f>
        <v>-621.99999999999989</v>
      </c>
      <c r="T21" s="8">
        <f t="shared" ref="T21:AD21" si="19">T16-SUM(T17:T20)</f>
        <v>-479.38199999999983</v>
      </c>
      <c r="U21" s="8">
        <f t="shared" si="19"/>
        <v>-372.45665999999994</v>
      </c>
      <c r="V21" s="8">
        <f t="shared" si="19"/>
        <v>-240.17605559999987</v>
      </c>
      <c r="W21" s="8">
        <f t="shared" si="19"/>
        <v>-133.44198663599991</v>
      </c>
      <c r="X21" s="8">
        <f t="shared" si="19"/>
        <v>-42.286793376960006</v>
      </c>
      <c r="Y21" s="8">
        <f t="shared" si="19"/>
        <v>62.980765186928494</v>
      </c>
      <c r="Z21" s="8">
        <f t="shared" si="19"/>
        <v>152.60743278748643</v>
      </c>
      <c r="AA21" s="8">
        <f t="shared" si="19"/>
        <v>241.64281786709921</v>
      </c>
      <c r="AB21" s="8">
        <f t="shared" si="19"/>
        <v>329.62969162036887</v>
      </c>
      <c r="AC21" s="8">
        <f t="shared" si="19"/>
        <v>414.72025390582792</v>
      </c>
      <c r="AD21" s="8">
        <f t="shared" si="19"/>
        <v>469.30447526168297</v>
      </c>
    </row>
    <row r="22" spans="2:145" x14ac:dyDescent="0.3">
      <c r="B22" t="s">
        <v>39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0.1</v>
      </c>
      <c r="M22" s="2">
        <v>0</v>
      </c>
      <c r="N22" s="2">
        <v>0</v>
      </c>
      <c r="P22" s="2">
        <v>0</v>
      </c>
      <c r="Q22" s="2">
        <v>0</v>
      </c>
      <c r="R22" s="2">
        <f>SUM(G22:J22)</f>
        <v>0</v>
      </c>
      <c r="S22" s="2">
        <f>SUM(K22:N22)</f>
        <v>0.1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2:145" x14ac:dyDescent="0.3">
      <c r="B23" t="s">
        <v>40</v>
      </c>
      <c r="E23" s="2">
        <v>2</v>
      </c>
      <c r="F23" s="2">
        <v>14.6</v>
      </c>
      <c r="G23" s="2">
        <v>8.4</v>
      </c>
      <c r="H23" s="2">
        <v>7.6</v>
      </c>
      <c r="I23" s="2">
        <v>0.3</v>
      </c>
      <c r="J23" s="2">
        <v>0.1</v>
      </c>
      <c r="K23" s="2">
        <v>0.2</v>
      </c>
      <c r="L23" s="2">
        <v>0.9</v>
      </c>
      <c r="M23" s="2">
        <v>-0.2</v>
      </c>
      <c r="N23" s="2">
        <v>0</v>
      </c>
      <c r="P23" s="2">
        <v>3.6</v>
      </c>
      <c r="Q23" s="2">
        <v>20.7</v>
      </c>
      <c r="R23" s="2">
        <f>SUM(G23:J23)</f>
        <v>16.400000000000002</v>
      </c>
      <c r="S23" s="2">
        <f>SUM(K23:N23)</f>
        <v>0.90000000000000013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</row>
    <row r="24" spans="2:145" s="1" customFormat="1" x14ac:dyDescent="0.3">
      <c r="B24" s="1" t="s">
        <v>41</v>
      </c>
      <c r="E24" s="8">
        <f t="shared" ref="E24:L24" si="20">E21-E22-E23</f>
        <v>-236.20000000000002</v>
      </c>
      <c r="F24" s="8">
        <f t="shared" si="20"/>
        <v>-175.99999999999997</v>
      </c>
      <c r="G24" s="8">
        <f t="shared" si="20"/>
        <v>-145.20000000000002</v>
      </c>
      <c r="H24" s="8">
        <f t="shared" si="20"/>
        <v>-140</v>
      </c>
      <c r="I24" s="8">
        <f t="shared" si="20"/>
        <v>-426</v>
      </c>
      <c r="J24" s="8">
        <f t="shared" si="20"/>
        <v>-153.6</v>
      </c>
      <c r="K24" s="8">
        <f t="shared" si="20"/>
        <v>-147.69999999999999</v>
      </c>
      <c r="L24" s="8">
        <f t="shared" si="20"/>
        <v>-133.69999999999999</v>
      </c>
      <c r="M24" s="8">
        <f t="shared" ref="M24:N24" si="21">M21-M22-M23</f>
        <v>-199.8</v>
      </c>
      <c r="N24" s="8">
        <f t="shared" si="21"/>
        <v>-141.79999999999998</v>
      </c>
      <c r="P24" s="8">
        <f>P21-P22-P23</f>
        <v>-690.5</v>
      </c>
      <c r="Q24" s="8">
        <f>Q21-Q22-Q23</f>
        <v>-738.2</v>
      </c>
      <c r="R24" s="8">
        <f>R21-R22-R23</f>
        <v>-864.8</v>
      </c>
      <c r="S24" s="8">
        <f>S21-S22-S23</f>
        <v>-622.99999999999989</v>
      </c>
      <c r="T24" s="8">
        <f t="shared" ref="T24:AD24" si="22">T21-T22-T23</f>
        <v>-480.38199999999983</v>
      </c>
      <c r="U24" s="8">
        <f t="shared" si="22"/>
        <v>-373.45665999999994</v>
      </c>
      <c r="V24" s="8">
        <f t="shared" si="22"/>
        <v>-241.17605559999987</v>
      </c>
      <c r="W24" s="8">
        <f t="shared" si="22"/>
        <v>-134.44198663599991</v>
      </c>
      <c r="X24" s="8">
        <f t="shared" si="22"/>
        <v>-43.286793376960006</v>
      </c>
      <c r="Y24" s="8">
        <f t="shared" si="22"/>
        <v>61.980765186928494</v>
      </c>
      <c r="Z24" s="8">
        <f t="shared" si="22"/>
        <v>151.60743278748643</v>
      </c>
      <c r="AA24" s="8">
        <f t="shared" si="22"/>
        <v>240.64281786709921</v>
      </c>
      <c r="AB24" s="8">
        <f t="shared" si="22"/>
        <v>328.62969162036887</v>
      </c>
      <c r="AC24" s="8">
        <f t="shared" si="22"/>
        <v>413.72025390582792</v>
      </c>
      <c r="AD24" s="8">
        <f t="shared" si="22"/>
        <v>468.30447526168297</v>
      </c>
      <c r="AE24" s="1">
        <f>AD24*(1+$AG$30)</f>
        <v>463.62143050906616</v>
      </c>
      <c r="AF24" s="1">
        <f t="shared" ref="AF24:CQ24" si="23">AE24*(1+$AG$30)</f>
        <v>458.98521620397548</v>
      </c>
      <c r="AG24" s="1">
        <f t="shared" si="23"/>
        <v>454.39536404193575</v>
      </c>
      <c r="AH24" s="1">
        <f t="shared" si="23"/>
        <v>449.85141040151638</v>
      </c>
      <c r="AI24" s="1">
        <f t="shared" si="23"/>
        <v>445.35289629750122</v>
      </c>
      <c r="AJ24" s="1">
        <f t="shared" si="23"/>
        <v>440.89936733452618</v>
      </c>
      <c r="AK24" s="1">
        <f t="shared" si="23"/>
        <v>436.49037366118091</v>
      </c>
      <c r="AL24" s="1">
        <f t="shared" si="23"/>
        <v>432.12546992456907</v>
      </c>
      <c r="AM24" s="1">
        <f t="shared" si="23"/>
        <v>427.80421522532339</v>
      </c>
      <c r="AN24" s="1">
        <f t="shared" si="23"/>
        <v>423.52617307307014</v>
      </c>
      <c r="AO24" s="1">
        <f t="shared" si="23"/>
        <v>419.29091134233943</v>
      </c>
      <c r="AP24" s="1">
        <f t="shared" si="23"/>
        <v>415.09800222891602</v>
      </c>
      <c r="AQ24" s="1">
        <f t="shared" si="23"/>
        <v>410.94702220662685</v>
      </c>
      <c r="AR24" s="1">
        <f t="shared" si="23"/>
        <v>406.8375519845606</v>
      </c>
      <c r="AS24" s="1">
        <f t="shared" si="23"/>
        <v>402.76917646471497</v>
      </c>
      <c r="AT24" s="1">
        <f t="shared" si="23"/>
        <v>398.74148470006782</v>
      </c>
      <c r="AU24" s="1">
        <f t="shared" si="23"/>
        <v>394.75406985306711</v>
      </c>
      <c r="AV24" s="1">
        <f t="shared" si="23"/>
        <v>390.80652915453641</v>
      </c>
      <c r="AW24" s="1">
        <f t="shared" si="23"/>
        <v>386.89846386299104</v>
      </c>
      <c r="AX24" s="1">
        <f t="shared" si="23"/>
        <v>383.02947922436113</v>
      </c>
      <c r="AY24" s="1">
        <f t="shared" si="23"/>
        <v>379.19918443211753</v>
      </c>
      <c r="AZ24" s="1">
        <f t="shared" si="23"/>
        <v>375.40719258779637</v>
      </c>
      <c r="BA24" s="1">
        <f t="shared" si="23"/>
        <v>371.65312066191842</v>
      </c>
      <c r="BB24" s="1">
        <f t="shared" si="23"/>
        <v>367.93658945529921</v>
      </c>
      <c r="BC24" s="1">
        <f t="shared" si="23"/>
        <v>364.25722356074624</v>
      </c>
      <c r="BD24" s="1">
        <f t="shared" si="23"/>
        <v>360.61465132513877</v>
      </c>
      <c r="BE24" s="1">
        <f t="shared" si="23"/>
        <v>357.00850481188735</v>
      </c>
      <c r="BF24" s="1">
        <f t="shared" si="23"/>
        <v>353.43841976376848</v>
      </c>
      <c r="BG24" s="1">
        <f t="shared" si="23"/>
        <v>349.9040355661308</v>
      </c>
      <c r="BH24" s="1">
        <f t="shared" si="23"/>
        <v>346.40499521046951</v>
      </c>
      <c r="BI24" s="1">
        <f t="shared" si="23"/>
        <v>342.94094525836482</v>
      </c>
      <c r="BJ24" s="1">
        <f t="shared" si="23"/>
        <v>339.51153580578119</v>
      </c>
      <c r="BK24" s="1">
        <f t="shared" si="23"/>
        <v>336.11642044772339</v>
      </c>
      <c r="BL24" s="1">
        <f t="shared" si="23"/>
        <v>332.75525624324615</v>
      </c>
      <c r="BM24" s="1">
        <f t="shared" si="23"/>
        <v>329.42770368081369</v>
      </c>
      <c r="BN24" s="1">
        <f t="shared" si="23"/>
        <v>326.13342664400557</v>
      </c>
      <c r="BO24" s="1">
        <f t="shared" si="23"/>
        <v>322.87209237756554</v>
      </c>
      <c r="BP24" s="1">
        <f t="shared" si="23"/>
        <v>319.64337145378988</v>
      </c>
      <c r="BQ24" s="1">
        <f t="shared" si="23"/>
        <v>316.44693773925201</v>
      </c>
      <c r="BR24" s="1">
        <f t="shared" si="23"/>
        <v>313.28246836185946</v>
      </c>
      <c r="BS24" s="1">
        <f t="shared" si="23"/>
        <v>310.14964367824086</v>
      </c>
      <c r="BT24" s="1">
        <f t="shared" si="23"/>
        <v>307.04814724145848</v>
      </c>
      <c r="BU24" s="1">
        <f t="shared" si="23"/>
        <v>303.97766576904388</v>
      </c>
      <c r="BV24" s="1">
        <f t="shared" si="23"/>
        <v>300.93788911135346</v>
      </c>
      <c r="BW24" s="1">
        <f t="shared" si="23"/>
        <v>297.9285102202399</v>
      </c>
      <c r="BX24" s="1">
        <f t="shared" si="23"/>
        <v>294.94922511803748</v>
      </c>
      <c r="BY24" s="1">
        <f t="shared" si="23"/>
        <v>291.99973286685707</v>
      </c>
      <c r="BZ24" s="1">
        <f t="shared" si="23"/>
        <v>289.07973553818852</v>
      </c>
      <c r="CA24" s="1">
        <f t="shared" si="23"/>
        <v>286.18893818280662</v>
      </c>
      <c r="CB24" s="1">
        <f t="shared" si="23"/>
        <v>283.32704880097856</v>
      </c>
      <c r="CC24" s="1">
        <f t="shared" si="23"/>
        <v>280.49377831296874</v>
      </c>
      <c r="CD24" s="1">
        <f t="shared" si="23"/>
        <v>277.68884052983907</v>
      </c>
      <c r="CE24" s="1">
        <f t="shared" si="23"/>
        <v>274.91195212454068</v>
      </c>
      <c r="CF24" s="1">
        <f t="shared" si="23"/>
        <v>272.16283260329527</v>
      </c>
      <c r="CG24" s="1">
        <f t="shared" si="23"/>
        <v>269.44120427726233</v>
      </c>
      <c r="CH24" s="1">
        <f t="shared" si="23"/>
        <v>266.7467922344897</v>
      </c>
      <c r="CI24" s="1">
        <f t="shared" si="23"/>
        <v>264.07932431214482</v>
      </c>
      <c r="CJ24" s="1">
        <f t="shared" si="23"/>
        <v>261.43853106902338</v>
      </c>
      <c r="CK24" s="1">
        <f t="shared" si="23"/>
        <v>258.82414575833315</v>
      </c>
      <c r="CL24" s="1">
        <f t="shared" si="23"/>
        <v>256.23590430074984</v>
      </c>
      <c r="CM24" s="1">
        <f t="shared" si="23"/>
        <v>253.67354525774235</v>
      </c>
      <c r="CN24" s="1">
        <f t="shared" si="23"/>
        <v>251.13680980516492</v>
      </c>
      <c r="CO24" s="1">
        <f t="shared" si="23"/>
        <v>248.62544170711325</v>
      </c>
      <c r="CP24" s="1">
        <f t="shared" si="23"/>
        <v>246.13918729004212</v>
      </c>
      <c r="CQ24" s="1">
        <f t="shared" si="23"/>
        <v>243.67779541714168</v>
      </c>
      <c r="CR24" s="1">
        <f t="shared" ref="CR24:EO24" si="24">CQ24*(1+$AG$30)</f>
        <v>241.24101746297026</v>
      </c>
      <c r="CS24" s="1">
        <f t="shared" si="24"/>
        <v>238.82860728834055</v>
      </c>
      <c r="CT24" s="1">
        <f t="shared" si="24"/>
        <v>236.44032121545715</v>
      </c>
      <c r="CU24" s="1">
        <f t="shared" si="24"/>
        <v>234.07591800330258</v>
      </c>
      <c r="CV24" s="1">
        <f t="shared" si="24"/>
        <v>231.73515882326956</v>
      </c>
      <c r="CW24" s="1">
        <f t="shared" si="24"/>
        <v>229.41780723503686</v>
      </c>
      <c r="CX24" s="1">
        <f t="shared" si="24"/>
        <v>227.12362916268648</v>
      </c>
      <c r="CY24" s="1">
        <f t="shared" si="24"/>
        <v>224.85239287105961</v>
      </c>
      <c r="CZ24" s="1">
        <f t="shared" si="24"/>
        <v>222.60386894234901</v>
      </c>
      <c r="DA24" s="1">
        <f t="shared" si="24"/>
        <v>220.37783025292552</v>
      </c>
      <c r="DB24" s="1">
        <f t="shared" si="24"/>
        <v>218.17405195039626</v>
      </c>
      <c r="DC24" s="1">
        <f t="shared" si="24"/>
        <v>215.9923114308923</v>
      </c>
      <c r="DD24" s="1">
        <f t="shared" si="24"/>
        <v>213.83238831658338</v>
      </c>
      <c r="DE24" s="1">
        <f t="shared" si="24"/>
        <v>211.69406443341754</v>
      </c>
      <c r="DF24" s="1">
        <f t="shared" si="24"/>
        <v>209.57712378908337</v>
      </c>
      <c r="DG24" s="1">
        <f t="shared" si="24"/>
        <v>207.48135255119254</v>
      </c>
      <c r="DH24" s="1">
        <f t="shared" si="24"/>
        <v>205.40653902568062</v>
      </c>
      <c r="DI24" s="1">
        <f t="shared" si="24"/>
        <v>203.35247363542382</v>
      </c>
      <c r="DJ24" s="1">
        <f t="shared" si="24"/>
        <v>201.31894889906957</v>
      </c>
      <c r="DK24" s="1">
        <f t="shared" si="24"/>
        <v>199.30575941007888</v>
      </c>
      <c r="DL24" s="1">
        <f t="shared" si="24"/>
        <v>197.31270181597807</v>
      </c>
      <c r="DM24" s="1">
        <f t="shared" si="24"/>
        <v>195.3395747978183</v>
      </c>
      <c r="DN24" s="1">
        <f t="shared" si="24"/>
        <v>193.38617904984011</v>
      </c>
      <c r="DO24" s="1">
        <f t="shared" si="24"/>
        <v>191.4523172593417</v>
      </c>
      <c r="DP24" s="1">
        <f t="shared" si="24"/>
        <v>189.53779408674828</v>
      </c>
      <c r="DQ24" s="1">
        <f t="shared" si="24"/>
        <v>187.64241614588079</v>
      </c>
      <c r="DR24" s="1">
        <f t="shared" si="24"/>
        <v>185.76599198442199</v>
      </c>
      <c r="DS24" s="1">
        <f t="shared" si="24"/>
        <v>183.90833206457776</v>
      </c>
      <c r="DT24" s="1">
        <f t="shared" si="24"/>
        <v>182.06924874393198</v>
      </c>
      <c r="DU24" s="1">
        <f t="shared" si="24"/>
        <v>180.24855625649266</v>
      </c>
      <c r="DV24" s="1">
        <f t="shared" si="24"/>
        <v>178.44607069392774</v>
      </c>
      <c r="DW24" s="1">
        <f t="shared" si="24"/>
        <v>176.66160998698845</v>
      </c>
      <c r="DX24" s="1">
        <f t="shared" si="24"/>
        <v>174.89499388711857</v>
      </c>
      <c r="DY24" s="1">
        <f t="shared" si="24"/>
        <v>173.14604394824738</v>
      </c>
      <c r="DZ24" s="1">
        <f t="shared" si="24"/>
        <v>171.41458350876491</v>
      </c>
      <c r="EA24" s="1">
        <f t="shared" si="24"/>
        <v>169.70043767367724</v>
      </c>
      <c r="EB24" s="1">
        <f t="shared" si="24"/>
        <v>168.00343329694047</v>
      </c>
      <c r="EC24" s="1">
        <f t="shared" si="24"/>
        <v>166.32339896397107</v>
      </c>
      <c r="ED24" s="1">
        <f t="shared" si="24"/>
        <v>164.66016497433137</v>
      </c>
      <c r="EE24" s="1">
        <f t="shared" si="24"/>
        <v>163.01356332458806</v>
      </c>
      <c r="EF24" s="1">
        <f t="shared" si="24"/>
        <v>161.38342769134218</v>
      </c>
      <c r="EG24" s="1">
        <f t="shared" si="24"/>
        <v>159.76959341442875</v>
      </c>
      <c r="EH24" s="1">
        <f t="shared" si="24"/>
        <v>158.17189748028446</v>
      </c>
      <c r="EI24" s="1">
        <f t="shared" si="24"/>
        <v>156.59017850548162</v>
      </c>
      <c r="EJ24" s="1">
        <f t="shared" si="24"/>
        <v>155.0242767204268</v>
      </c>
      <c r="EK24" s="1">
        <f t="shared" si="24"/>
        <v>153.47403395322252</v>
      </c>
      <c r="EL24" s="1">
        <f t="shared" si="24"/>
        <v>151.9392936136903</v>
      </c>
      <c r="EM24" s="1">
        <f t="shared" si="24"/>
        <v>150.41990067755339</v>
      </c>
      <c r="EN24" s="1">
        <f t="shared" si="24"/>
        <v>148.91570167077785</v>
      </c>
      <c r="EO24" s="1">
        <f t="shared" si="24"/>
        <v>147.42654465407006</v>
      </c>
    </row>
    <row r="25" spans="2:145" x14ac:dyDescent="0.3">
      <c r="B25" t="s">
        <v>2</v>
      </c>
      <c r="E25" s="2">
        <v>50.6</v>
      </c>
      <c r="F25" s="2">
        <v>50.6</v>
      </c>
      <c r="G25" s="2">
        <v>50.6</v>
      </c>
      <c r="H25" s="2">
        <v>50.6</v>
      </c>
      <c r="I25" s="2">
        <v>50.6</v>
      </c>
      <c r="J25" s="2">
        <v>50.6</v>
      </c>
      <c r="K25" s="2">
        <v>50.6</v>
      </c>
      <c r="L25" s="2">
        <v>50.6</v>
      </c>
      <c r="M25" s="2">
        <v>51.4</v>
      </c>
      <c r="N25" s="2">
        <v>60.9</v>
      </c>
      <c r="P25" s="2">
        <v>50.6</v>
      </c>
      <c r="Q25" s="2">
        <v>50.6</v>
      </c>
      <c r="R25" s="2">
        <v>50.6</v>
      </c>
      <c r="S25" s="2">
        <v>60.9</v>
      </c>
      <c r="T25" s="2">
        <v>60.9</v>
      </c>
      <c r="U25" s="2">
        <v>60.9</v>
      </c>
      <c r="V25" s="2">
        <v>60.9</v>
      </c>
      <c r="W25" s="2">
        <v>60.9</v>
      </c>
      <c r="X25" s="2">
        <v>60.9</v>
      </c>
      <c r="Y25" s="2">
        <v>60.9</v>
      </c>
      <c r="Z25" s="2">
        <v>60.9</v>
      </c>
      <c r="AA25" s="2">
        <v>60.9</v>
      </c>
      <c r="AB25" s="2">
        <v>60.9</v>
      </c>
      <c r="AC25" s="2">
        <v>60.9</v>
      </c>
      <c r="AD25" s="2">
        <v>60.9</v>
      </c>
    </row>
    <row r="26" spans="2:145" x14ac:dyDescent="0.3">
      <c r="B26" t="s">
        <v>42</v>
      </c>
      <c r="E26" s="7">
        <f t="shared" ref="E26:L26" si="25">E24/E25</f>
        <v>-4.6679841897233203</v>
      </c>
      <c r="F26" s="7">
        <f t="shared" si="25"/>
        <v>-3.4782608695652169</v>
      </c>
      <c r="G26" s="7">
        <f t="shared" si="25"/>
        <v>-2.8695652173913047</v>
      </c>
      <c r="H26" s="7">
        <f t="shared" si="25"/>
        <v>-2.766798418972332</v>
      </c>
      <c r="I26" s="7">
        <f t="shared" si="25"/>
        <v>-8.4189723320158105</v>
      </c>
      <c r="J26" s="7">
        <f t="shared" si="25"/>
        <v>-3.0355731225296441</v>
      </c>
      <c r="K26" s="7">
        <f t="shared" si="25"/>
        <v>-2.9189723320158101</v>
      </c>
      <c r="L26" s="7">
        <f t="shared" si="25"/>
        <v>-2.6422924901185767</v>
      </c>
      <c r="M26" s="7">
        <f t="shared" ref="M26:N26" si="26">M24/M25</f>
        <v>-3.8871595330739304</v>
      </c>
      <c r="N26" s="7">
        <f t="shared" si="26"/>
        <v>-2.3284072249589487</v>
      </c>
      <c r="P26" s="7">
        <f>P24/P25</f>
        <v>-13.646245059288537</v>
      </c>
      <c r="Q26" s="7">
        <f>Q24/Q25</f>
        <v>-14.588932806324111</v>
      </c>
      <c r="R26" s="7">
        <f>R24/R25</f>
        <v>-17.09090909090909</v>
      </c>
      <c r="S26" s="7">
        <f>S24/S25</f>
        <v>-10.229885057471263</v>
      </c>
      <c r="T26" s="7">
        <f t="shared" ref="T26:AD26" si="27">T24/T25</f>
        <v>-7.8880459770114921</v>
      </c>
      <c r="U26" s="7">
        <f t="shared" si="27"/>
        <v>-6.132293267651888</v>
      </c>
      <c r="V26" s="7">
        <f t="shared" si="27"/>
        <v>-3.9601979573070589</v>
      </c>
      <c r="W26" s="7">
        <f t="shared" si="27"/>
        <v>-2.2075859874548427</v>
      </c>
      <c r="X26" s="7">
        <f t="shared" si="27"/>
        <v>-0.71078478451494265</v>
      </c>
      <c r="Y26" s="7">
        <f t="shared" si="27"/>
        <v>1.0177465547935713</v>
      </c>
      <c r="Z26" s="7">
        <f t="shared" si="27"/>
        <v>2.4894488142444406</v>
      </c>
      <c r="AA26" s="7">
        <f t="shared" si="27"/>
        <v>3.9514420011017934</v>
      </c>
      <c r="AB26" s="7">
        <f t="shared" si="27"/>
        <v>5.3962182532080272</v>
      </c>
      <c r="AC26" s="7">
        <f t="shared" si="27"/>
        <v>6.7934360247262386</v>
      </c>
      <c r="AD26" s="7">
        <f t="shared" si="27"/>
        <v>7.689728657827307</v>
      </c>
    </row>
    <row r="28" spans="2:145" x14ac:dyDescent="0.3">
      <c r="B28" t="s">
        <v>64</v>
      </c>
      <c r="J28" s="9"/>
      <c r="K28" s="9">
        <f>K3/J3-1</f>
        <v>2.3809523809523725E-2</v>
      </c>
      <c r="L28" s="9">
        <f>L3/K3-1</f>
        <v>0.79069767441860472</v>
      </c>
      <c r="M28" s="9">
        <f t="shared" ref="M28:N28" si="28">M3/L3-1</f>
        <v>7.7922077922077948E-2</v>
      </c>
      <c r="N28" s="9">
        <f t="shared" si="28"/>
        <v>0.32530120481927716</v>
      </c>
    </row>
    <row r="29" spans="2:145" x14ac:dyDescent="0.3">
      <c r="B29" t="s">
        <v>43</v>
      </c>
      <c r="E29" s="9"/>
      <c r="F29" s="9"/>
      <c r="G29" s="9"/>
      <c r="H29" s="9"/>
      <c r="I29" s="9">
        <f t="shared" ref="I29:L31" si="29">I6/E6-1</f>
        <v>-1.100418410041841</v>
      </c>
      <c r="J29" s="9">
        <f t="shared" si="29"/>
        <v>1.2127659574468086</v>
      </c>
      <c r="K29" s="9">
        <f t="shared" si="29"/>
        <v>-0.26732673267326723</v>
      </c>
      <c r="L29" s="9">
        <f t="shared" si="29"/>
        <v>1.3916666666666666</v>
      </c>
      <c r="M29" s="9"/>
      <c r="N29" s="9">
        <f t="shared" ref="N29" si="30">N6/J6-1</f>
        <v>3.2307692307692308</v>
      </c>
      <c r="P29" s="9"/>
      <c r="Q29" s="9"/>
      <c r="R29" s="9">
        <f>R6/Q6-1</f>
        <v>-0.34422657952069713</v>
      </c>
      <c r="S29" s="9">
        <f t="shared" ref="S29:AD29" si="31">S6/R6-1</f>
        <v>2.485049833887043</v>
      </c>
      <c r="T29" s="9">
        <f t="shared" si="31"/>
        <v>3</v>
      </c>
      <c r="U29" s="9">
        <f t="shared" si="31"/>
        <v>0.8</v>
      </c>
      <c r="V29" s="9">
        <f t="shared" si="31"/>
        <v>0.59999999999999987</v>
      </c>
      <c r="W29" s="9">
        <f t="shared" si="31"/>
        <v>0.39999999999999991</v>
      </c>
      <c r="X29" s="9">
        <f t="shared" si="31"/>
        <v>0.30000000000000004</v>
      </c>
      <c r="Y29" s="9">
        <f t="shared" si="31"/>
        <v>0.19999999999999996</v>
      </c>
      <c r="Z29" s="9">
        <f t="shared" si="31"/>
        <v>0.14999999999999991</v>
      </c>
      <c r="AA29" s="9">
        <f t="shared" si="31"/>
        <v>0.10000000000000009</v>
      </c>
      <c r="AB29" s="9">
        <f t="shared" si="31"/>
        <v>8.0000000000000071E-2</v>
      </c>
      <c r="AC29" s="9">
        <f t="shared" si="31"/>
        <v>5.0000000000000044E-2</v>
      </c>
      <c r="AD29" s="9">
        <f t="shared" si="31"/>
        <v>5.0000000000000044E-2</v>
      </c>
    </row>
    <row r="30" spans="2:145" x14ac:dyDescent="0.3">
      <c r="B30" t="s">
        <v>44</v>
      </c>
      <c r="E30" s="9"/>
      <c r="F30" s="9"/>
      <c r="G30" s="9"/>
      <c r="H30" s="9"/>
      <c r="I30" s="9">
        <f t="shared" si="29"/>
        <v>0.49999999999999978</v>
      </c>
      <c r="J30" s="9">
        <f t="shared" si="29"/>
        <v>0.49999999999999978</v>
      </c>
      <c r="K30" s="9">
        <f t="shared" si="29"/>
        <v>-0.83333333333333326</v>
      </c>
      <c r="L30" s="9">
        <f t="shared" si="29"/>
        <v>-0.23529411764705876</v>
      </c>
      <c r="M30" s="9">
        <f t="shared" ref="M30:N30" si="32">M7/I7-1</f>
        <v>-0.5</v>
      </c>
      <c r="N30" s="9">
        <f t="shared" si="32"/>
        <v>2.3333333333333335</v>
      </c>
      <c r="P30" s="9"/>
      <c r="Q30" s="9"/>
      <c r="R30" s="9">
        <f>R7/Q7-1</f>
        <v>0.52631578947368429</v>
      </c>
      <c r="S30" s="9">
        <f t="shared" ref="S30:AD30" si="33">S7/R7-1</f>
        <v>0.2068965517241379</v>
      </c>
      <c r="T30" s="9">
        <f t="shared" si="33"/>
        <v>1</v>
      </c>
      <c r="U30" s="9">
        <f t="shared" si="33"/>
        <v>0.8</v>
      </c>
      <c r="V30" s="9">
        <f t="shared" si="33"/>
        <v>0.5</v>
      </c>
      <c r="W30" s="9">
        <f t="shared" si="33"/>
        <v>0.39999999999999991</v>
      </c>
      <c r="X30" s="9">
        <f t="shared" si="33"/>
        <v>0.35000000000000009</v>
      </c>
      <c r="Y30" s="9">
        <f t="shared" si="33"/>
        <v>0.30000000000000004</v>
      </c>
      <c r="Z30" s="9">
        <f t="shared" si="33"/>
        <v>0.30000000000000004</v>
      </c>
      <c r="AA30" s="9">
        <f t="shared" si="33"/>
        <v>0.30000000000000004</v>
      </c>
      <c r="AB30" s="9">
        <f t="shared" si="33"/>
        <v>0.30000000000000004</v>
      </c>
      <c r="AC30" s="9">
        <f t="shared" si="33"/>
        <v>0.30000000000000004</v>
      </c>
      <c r="AD30" s="9">
        <f t="shared" si="33"/>
        <v>0.19999999999999996</v>
      </c>
      <c r="AF30" t="s">
        <v>54</v>
      </c>
      <c r="AG30" s="9">
        <v>-0.01</v>
      </c>
    </row>
    <row r="31" spans="2:145" s="1" customFormat="1" x14ac:dyDescent="0.3">
      <c r="B31" s="1" t="s">
        <v>45</v>
      </c>
      <c r="E31" s="10"/>
      <c r="F31" s="10"/>
      <c r="G31" s="10"/>
      <c r="H31" s="10"/>
      <c r="I31" s="10">
        <f t="shared" si="29"/>
        <v>-1.074074074074074</v>
      </c>
      <c r="J31" s="10">
        <f t="shared" si="29"/>
        <v>1.1090909090909089</v>
      </c>
      <c r="K31" s="10">
        <f t="shared" si="29"/>
        <v>-0.29906542056074759</v>
      </c>
      <c r="L31" s="10">
        <f t="shared" si="29"/>
        <v>1.0324675324675323</v>
      </c>
      <c r="M31" s="10"/>
      <c r="N31" s="10">
        <f t="shared" ref="N31" si="34">N8/J8-1</f>
        <v>3.1379310344827589</v>
      </c>
      <c r="P31" s="10"/>
      <c r="Q31" s="9"/>
      <c r="R31" s="9">
        <f>R8/Q8-1</f>
        <v>-0.27766599597585506</v>
      </c>
      <c r="S31" s="9">
        <f t="shared" ref="S31:AD31" si="35">S8/R8-1</f>
        <v>2.1169916434540395</v>
      </c>
      <c r="T31" s="9">
        <f t="shared" si="35"/>
        <v>2.8748882931188562</v>
      </c>
      <c r="U31" s="9">
        <f t="shared" si="35"/>
        <v>0.80000000000000027</v>
      </c>
      <c r="V31" s="9">
        <f t="shared" si="35"/>
        <v>0.59677121771217689</v>
      </c>
      <c r="W31" s="9">
        <f t="shared" si="35"/>
        <v>0.39999999999999991</v>
      </c>
      <c r="X31" s="9">
        <f t="shared" si="35"/>
        <v>0.30151655208273143</v>
      </c>
      <c r="Y31" s="9">
        <f t="shared" si="35"/>
        <v>0.20314609185478472</v>
      </c>
      <c r="Z31" s="9">
        <f t="shared" si="35"/>
        <v>0.1550990309143363</v>
      </c>
      <c r="AA31" s="9">
        <f t="shared" si="35"/>
        <v>0.10765156927239405</v>
      </c>
      <c r="AB31" s="9">
        <f t="shared" si="35"/>
        <v>8.9878326689602384E-2</v>
      </c>
      <c r="AC31" s="9">
        <f t="shared" si="35"/>
        <v>6.33895520740968E-2</v>
      </c>
      <c r="AD31" s="9">
        <f t="shared" si="35"/>
        <v>5.9821283834719852E-2</v>
      </c>
      <c r="AF31" t="s">
        <v>55</v>
      </c>
      <c r="AG31" s="9">
        <v>0.12</v>
      </c>
    </row>
    <row r="32" spans="2:145" x14ac:dyDescent="0.3">
      <c r="B32" t="s">
        <v>46</v>
      </c>
      <c r="E32" s="9">
        <f t="shared" ref="E32:K32" si="36">(E6-E9)/E6</f>
        <v>-1.2635983263598329</v>
      </c>
      <c r="F32" s="9">
        <f t="shared" si="36"/>
        <v>-5.7446808510638299</v>
      </c>
      <c r="G32" s="9">
        <f t="shared" si="36"/>
        <v>-2.2673267326732671</v>
      </c>
      <c r="H32" s="9">
        <f t="shared" si="36"/>
        <v>-2.35</v>
      </c>
      <c r="I32" s="9">
        <f t="shared" si="36"/>
        <v>52.125000000000007</v>
      </c>
      <c r="J32" s="9">
        <f t="shared" si="36"/>
        <v>-3.4807692307692308</v>
      </c>
      <c r="K32" s="9">
        <f t="shared" si="36"/>
        <v>-7.3378378378378377</v>
      </c>
      <c r="L32" s="9">
        <f>(L6-L9)/L6</f>
        <v>-1.7526132404181185</v>
      </c>
      <c r="M32" s="9">
        <f t="shared" ref="M32:N32" si="37">(M6-M9)/M6</f>
        <v>-2.314516129032258</v>
      </c>
      <c r="N32" s="9">
        <f t="shared" si="37"/>
        <v>-1.2999999999999998</v>
      </c>
      <c r="P32" s="9" t="e">
        <f t="shared" ref="P32:AD32" si="38">(P6-P9)/P6</f>
        <v>#DIV/0!</v>
      </c>
      <c r="Q32" s="9">
        <f t="shared" si="38"/>
        <v>-1.8888888888888886</v>
      </c>
      <c r="R32" s="9">
        <f t="shared" si="38"/>
        <v>-7.0564784053156142</v>
      </c>
      <c r="S32" s="9">
        <f t="shared" si="38"/>
        <v>-2.089609151572926</v>
      </c>
      <c r="T32" s="9">
        <f t="shared" si="38"/>
        <v>-0.3999999999999998</v>
      </c>
      <c r="U32" s="9">
        <f t="shared" si="38"/>
        <v>-0.10000000000000002</v>
      </c>
      <c r="V32" s="9">
        <f t="shared" si="38"/>
        <v>5.0000000000000121E-2</v>
      </c>
      <c r="W32" s="9">
        <f t="shared" si="38"/>
        <v>0.10000000000000002</v>
      </c>
      <c r="X32" s="9">
        <f t="shared" si="38"/>
        <v>0.11999999999999995</v>
      </c>
      <c r="Y32" s="9">
        <f t="shared" si="38"/>
        <v>0.14000000000000007</v>
      </c>
      <c r="Z32" s="9">
        <f t="shared" si="38"/>
        <v>0.15000000000000005</v>
      </c>
      <c r="AA32" s="9">
        <f t="shared" si="38"/>
        <v>0.16000000000000009</v>
      </c>
      <c r="AB32" s="9">
        <f t="shared" si="38"/>
        <v>0.17</v>
      </c>
      <c r="AC32" s="9">
        <f t="shared" si="38"/>
        <v>0.18000000000000005</v>
      </c>
      <c r="AD32" s="9">
        <f t="shared" si="38"/>
        <v>0.18000000000000008</v>
      </c>
      <c r="AF32" t="s">
        <v>56</v>
      </c>
      <c r="AG32" s="2">
        <f>NPV(AG31,S24:EO24)</f>
        <v>-20.136675288012928</v>
      </c>
    </row>
    <row r="33" spans="2:33" x14ac:dyDescent="0.3">
      <c r="B33" t="s">
        <v>47</v>
      </c>
      <c r="E33" s="9">
        <f t="shared" ref="E33:K33" si="39">(E7-E10)/E7</f>
        <v>0.25000000000000006</v>
      </c>
      <c r="F33" s="9">
        <f t="shared" si="39"/>
        <v>0</v>
      </c>
      <c r="G33" s="9">
        <f t="shared" si="39"/>
        <v>0.33333333333333326</v>
      </c>
      <c r="H33" s="9">
        <f t="shared" si="39"/>
        <v>0.17647058823529416</v>
      </c>
      <c r="I33" s="9">
        <f t="shared" si="39"/>
        <v>-0.83333333333333359</v>
      </c>
      <c r="J33" s="9">
        <f t="shared" si="39"/>
        <v>-1.6666666666666667</v>
      </c>
      <c r="K33" s="9">
        <f t="shared" si="39"/>
        <v>-31.999999999999996</v>
      </c>
      <c r="L33" s="9">
        <f>(L7-L10)/L7</f>
        <v>-1.7307692307692306</v>
      </c>
      <c r="M33" s="9">
        <f t="shared" ref="M33:N33" si="40">(M7-M10)/M7</f>
        <v>-15.333333333333336</v>
      </c>
      <c r="N33" s="9">
        <f t="shared" si="40"/>
        <v>-1.4</v>
      </c>
      <c r="P33" s="9" t="e">
        <f t="shared" ref="P33:AD33" si="41">(P7-P10)/P7</f>
        <v>#DIV/0!</v>
      </c>
      <c r="Q33" s="9">
        <f t="shared" si="41"/>
        <v>0.18421052631578941</v>
      </c>
      <c r="R33" s="9">
        <f t="shared" si="41"/>
        <v>-0.2931034482758621</v>
      </c>
      <c r="S33" s="9">
        <f t="shared" si="41"/>
        <v>-2.5571428571428569</v>
      </c>
      <c r="T33" s="9">
        <f t="shared" si="41"/>
        <v>-1.2000000000000004</v>
      </c>
      <c r="U33" s="9">
        <f t="shared" si="41"/>
        <v>-0.8</v>
      </c>
      <c r="V33" s="9">
        <f t="shared" si="41"/>
        <v>-0.5</v>
      </c>
      <c r="W33" s="9">
        <f t="shared" si="41"/>
        <v>-0.3</v>
      </c>
      <c r="X33" s="9">
        <f t="shared" si="41"/>
        <v>-0.19999999999999996</v>
      </c>
      <c r="Y33" s="9">
        <f t="shared" si="41"/>
        <v>-0.1000000000000001</v>
      </c>
      <c r="Z33" s="9">
        <f t="shared" si="41"/>
        <v>0</v>
      </c>
      <c r="AA33" s="9">
        <f t="shared" si="41"/>
        <v>0.10000000000000003</v>
      </c>
      <c r="AB33" s="9">
        <f t="shared" si="41"/>
        <v>0.15000000000000005</v>
      </c>
      <c r="AC33" s="9">
        <f t="shared" si="41"/>
        <v>0.19999999999999993</v>
      </c>
      <c r="AD33" s="9">
        <f t="shared" si="41"/>
        <v>0.25</v>
      </c>
      <c r="AF33" t="s">
        <v>57</v>
      </c>
      <c r="AG33" s="2">
        <f>Main!D8</f>
        <v>-51.800000000000011</v>
      </c>
    </row>
    <row r="34" spans="2:33" x14ac:dyDescent="0.3">
      <c r="B34" t="s">
        <v>48</v>
      </c>
      <c r="E34" s="9">
        <f t="shared" ref="E34:K34" si="42">E12/E8</f>
        <v>-1.2386831275720167</v>
      </c>
      <c r="F34" s="9">
        <f t="shared" si="42"/>
        <v>-4.9090909090909092</v>
      </c>
      <c r="G34" s="9">
        <f t="shared" si="42"/>
        <v>-2.1214953271028039</v>
      </c>
      <c r="H34" s="9">
        <f t="shared" si="42"/>
        <v>-1.7922077922077924</v>
      </c>
      <c r="I34" s="9">
        <f t="shared" si="42"/>
        <v>69.777777777777786</v>
      </c>
      <c r="J34" s="9">
        <f t="shared" si="42"/>
        <v>-3.2931034482758625</v>
      </c>
      <c r="K34" s="9">
        <f t="shared" si="42"/>
        <v>-7.666666666666667</v>
      </c>
      <c r="L34" s="9">
        <f>L12/L8</f>
        <v>-1.7507987220447283</v>
      </c>
      <c r="M34" s="9">
        <f t="shared" ref="M34:N34" si="43">M12/M8</f>
        <v>-2.4701195219123506</v>
      </c>
      <c r="N34" s="9">
        <f t="shared" si="43"/>
        <v>-1.3083333333333329</v>
      </c>
      <c r="P34" s="9" t="e">
        <f t="shared" ref="P34:AD34" si="44">P12/P8</f>
        <v>#DIV/0!</v>
      </c>
      <c r="Q34" s="9">
        <f t="shared" si="44"/>
        <v>-1.7303822937625757</v>
      </c>
      <c r="R34" s="9">
        <f t="shared" si="44"/>
        <v>-5.9637883008356543</v>
      </c>
      <c r="S34" s="9">
        <f t="shared" si="44"/>
        <v>-2.1188561215370858</v>
      </c>
      <c r="T34" s="9">
        <f t="shared" si="44"/>
        <v>-0.4258302583025827</v>
      </c>
      <c r="U34" s="9">
        <f t="shared" si="44"/>
        <v>-0.12260147601476011</v>
      </c>
      <c r="V34" s="9">
        <f t="shared" si="44"/>
        <v>3.331792708995325E-2</v>
      </c>
      <c r="W34" s="9">
        <f t="shared" si="44"/>
        <v>8.7867583338147801E-2</v>
      </c>
      <c r="X34" s="9">
        <f t="shared" si="44"/>
        <v>0.10993250606468852</v>
      </c>
      <c r="Y34" s="9">
        <f t="shared" si="44"/>
        <v>0.13184155053706201</v>
      </c>
      <c r="Z34" s="9">
        <f t="shared" si="44"/>
        <v>0.14426132304570455</v>
      </c>
      <c r="AA34" s="9">
        <f t="shared" si="44"/>
        <v>0.1573059109028358</v>
      </c>
      <c r="AB34" s="9">
        <f t="shared" si="44"/>
        <v>0.16892883583407226</v>
      </c>
      <c r="AC34" s="9">
        <f t="shared" si="44"/>
        <v>0.18130950451129602</v>
      </c>
      <c r="AD34" s="9">
        <f t="shared" si="44"/>
        <v>0.18518947772736083</v>
      </c>
      <c r="AF34" t="s">
        <v>58</v>
      </c>
      <c r="AG34" s="2">
        <f>AG32+AG33</f>
        <v>-71.936675288012935</v>
      </c>
    </row>
    <row r="35" spans="2:33" x14ac:dyDescent="0.3">
      <c r="B35" t="s">
        <v>49</v>
      </c>
      <c r="E35" s="9"/>
      <c r="F35" s="9"/>
      <c r="G35" s="9"/>
      <c r="H35" s="9"/>
      <c r="I35" s="9">
        <f t="shared" ref="I35:L36" si="45">I13/E13-1</f>
        <v>-0.37031484257871072</v>
      </c>
      <c r="J35" s="9">
        <f t="shared" si="45"/>
        <v>-0.39636913767019666</v>
      </c>
      <c r="K35" s="9">
        <f t="shared" si="45"/>
        <v>-0.36084142394822005</v>
      </c>
      <c r="L35" s="9">
        <f t="shared" si="45"/>
        <v>-0.37674418604651161</v>
      </c>
      <c r="M35" s="9">
        <f t="shared" ref="M35:N35" si="46">M13/I13-1</f>
        <v>-4.761904761904856E-3</v>
      </c>
      <c r="N35" s="9">
        <f t="shared" si="46"/>
        <v>2.5062656641603454E-3</v>
      </c>
      <c r="P35" s="9"/>
      <c r="Q35" s="9">
        <f>Q13/P13-1</f>
        <v>-7.6791808873720169E-2</v>
      </c>
      <c r="R35" s="9">
        <f t="shared" ref="R35:AD36" si="47">R13/Q13-1</f>
        <v>-0.23031423290203323</v>
      </c>
      <c r="S35" s="9">
        <f t="shared" si="47"/>
        <v>-0.22430355427473592</v>
      </c>
      <c r="T35" s="9">
        <f t="shared" si="47"/>
        <v>-0.18000000000000016</v>
      </c>
      <c r="U35" s="9">
        <f t="shared" si="47"/>
        <v>-6.9999999999999951E-2</v>
      </c>
      <c r="V35" s="9">
        <f t="shared" si="47"/>
        <v>2.0000000000000018E-2</v>
      </c>
      <c r="W35" s="9">
        <f t="shared" si="47"/>
        <v>2.0000000000000018E-2</v>
      </c>
      <c r="X35" s="9">
        <f t="shared" si="47"/>
        <v>2.0000000000000018E-2</v>
      </c>
      <c r="Y35" s="9">
        <f t="shared" si="47"/>
        <v>2.0000000000000018E-2</v>
      </c>
      <c r="Z35" s="9">
        <f t="shared" si="47"/>
        <v>2.0000000000000018E-2</v>
      </c>
      <c r="AA35" s="9">
        <f t="shared" si="47"/>
        <v>2.0000000000000018E-2</v>
      </c>
      <c r="AB35" s="9">
        <f t="shared" si="47"/>
        <v>2.0000000000000018E-2</v>
      </c>
      <c r="AC35" s="9">
        <f t="shared" si="47"/>
        <v>2.0000000000000018E-2</v>
      </c>
      <c r="AD35" s="9">
        <f t="shared" si="47"/>
        <v>2.0000000000000018E-2</v>
      </c>
      <c r="AF35" t="s">
        <v>59</v>
      </c>
      <c r="AG35" s="6">
        <f>AG34/AD25</f>
        <v>-1.181226195205467</v>
      </c>
    </row>
    <row r="36" spans="2:33" x14ac:dyDescent="0.3">
      <c r="B36" t="s">
        <v>50</v>
      </c>
      <c r="E36" s="9"/>
      <c r="F36" s="9"/>
      <c r="G36" s="9"/>
      <c r="H36" s="9"/>
      <c r="I36" s="9">
        <f t="shared" si="45"/>
        <v>-0.56358164033107605</v>
      </c>
      <c r="J36" s="9">
        <f t="shared" si="45"/>
        <v>-0.30195381882770866</v>
      </c>
      <c r="K36" s="9">
        <f t="shared" si="45"/>
        <v>0.13114754098360648</v>
      </c>
      <c r="L36" s="9">
        <f t="shared" si="45"/>
        <v>-0.38435374149659851</v>
      </c>
      <c r="M36" s="9">
        <f t="shared" ref="M36:N36" si="48">M14/I14-1</f>
        <v>-0.28275862068965518</v>
      </c>
      <c r="N36" s="9">
        <f t="shared" si="48"/>
        <v>-0.10941475826972002</v>
      </c>
      <c r="P36" s="9"/>
      <c r="Q36" s="9">
        <f t="shared" ref="Q36" si="49">Q14/P14-1</f>
        <v>-0.13579630554168753</v>
      </c>
      <c r="R36" s="9">
        <f t="shared" si="47"/>
        <v>-0.42576545349508954</v>
      </c>
      <c r="S36" s="9">
        <f t="shared" si="47"/>
        <v>-0.18963782696177067</v>
      </c>
      <c r="T36" s="9">
        <f t="shared" si="47"/>
        <v>-0.13000000000000012</v>
      </c>
      <c r="U36" s="9">
        <f t="shared" si="47"/>
        <v>-7.0000000000000062E-2</v>
      </c>
      <c r="V36" s="9">
        <f t="shared" si="47"/>
        <v>1.0000000000000009E-2</v>
      </c>
      <c r="W36" s="9">
        <f t="shared" si="47"/>
        <v>1.0000000000000009E-2</v>
      </c>
      <c r="X36" s="9">
        <f t="shared" si="47"/>
        <v>1.0000000000000009E-2</v>
      </c>
      <c r="Y36" s="9">
        <f t="shared" si="47"/>
        <v>1.0000000000000009E-2</v>
      </c>
      <c r="Z36" s="9">
        <f t="shared" si="47"/>
        <v>1.0000000000000009E-2</v>
      </c>
      <c r="AA36" s="9">
        <f t="shared" si="47"/>
        <v>1.0000000000000009E-2</v>
      </c>
      <c r="AB36" s="9">
        <f t="shared" si="47"/>
        <v>1.0000000000000009E-2</v>
      </c>
      <c r="AC36" s="9">
        <f t="shared" si="47"/>
        <v>1.0000000000000009E-2</v>
      </c>
      <c r="AD36" s="9">
        <f t="shared" si="47"/>
        <v>1.0000000000000009E-2</v>
      </c>
      <c r="AF36" t="s">
        <v>60</v>
      </c>
      <c r="AG36" s="6">
        <f>Main!D3</f>
        <v>3.8</v>
      </c>
    </row>
    <row r="37" spans="2:33" x14ac:dyDescent="0.3">
      <c r="B37" t="s">
        <v>51</v>
      </c>
      <c r="E37" s="9">
        <f t="shared" ref="E37:K37" si="50">E16/E8</f>
        <v>-9.4526748971193442</v>
      </c>
      <c r="F37" s="9">
        <f t="shared" si="50"/>
        <v>-27.16363636363636</v>
      </c>
      <c r="G37" s="9">
        <f t="shared" si="50"/>
        <v>-11.88785046728972</v>
      </c>
      <c r="H37" s="9">
        <f t="shared" si="50"/>
        <v>-10.948051948051948</v>
      </c>
      <c r="I37" s="9">
        <f t="shared" si="50"/>
        <v>125.72222222222224</v>
      </c>
      <c r="J37" s="9">
        <f t="shared" si="50"/>
        <v>-11.017241379310345</v>
      </c>
      <c r="K37" s="9">
        <f t="shared" si="50"/>
        <v>-19.373333333333335</v>
      </c>
      <c r="L37" s="9">
        <f>L16/L8</f>
        <v>-4.1916932907348237</v>
      </c>
      <c r="M37" s="9">
        <f t="shared" ref="M37:N37" si="51">M16/M8</f>
        <v>-7.1235059760956174</v>
      </c>
      <c r="N37" s="9">
        <f t="shared" si="51"/>
        <v>-2.8708333333333331</v>
      </c>
      <c r="P37" s="9" t="e">
        <f t="shared" ref="P37:AD37" si="52">P16/P8</f>
        <v>#DIV/0!</v>
      </c>
      <c r="Q37" s="9">
        <f t="shared" si="52"/>
        <v>-14.138832997987929</v>
      </c>
      <c r="R37" s="9">
        <f t="shared" si="52"/>
        <v>-18.103064066852369</v>
      </c>
      <c r="S37" s="9">
        <f t="shared" si="52"/>
        <v>-5.3002680965147446</v>
      </c>
      <c r="T37" s="9">
        <f t="shared" si="52"/>
        <v>-1.0544903136531361</v>
      </c>
      <c r="U37" s="9">
        <f t="shared" si="52"/>
        <v>-0.44740917127921265</v>
      </c>
      <c r="V37" s="9">
        <f t="shared" si="52"/>
        <v>-0.17311977078398511</v>
      </c>
      <c r="W37" s="9">
        <f t="shared" si="52"/>
        <v>-6.1782477576694153E-2</v>
      </c>
      <c r="X37" s="9">
        <f t="shared" si="52"/>
        <v>-6.7628743194961313E-3</v>
      </c>
      <c r="Y37" s="9">
        <f t="shared" si="52"/>
        <v>3.3401393470383463E-2</v>
      </c>
      <c r="Z37" s="9">
        <f t="shared" si="52"/>
        <v>5.7764408617473E-2</v>
      </c>
      <c r="AA37" s="9">
        <f t="shared" si="52"/>
        <v>7.8045645206278852E-2</v>
      </c>
      <c r="AB37" s="9">
        <f t="shared" si="52"/>
        <v>9.511358121672904E-2</v>
      </c>
      <c r="AC37" s="9">
        <f t="shared" si="52"/>
        <v>0.11085108675041332</v>
      </c>
      <c r="AD37" s="9">
        <f t="shared" si="52"/>
        <v>0.11770716779969445</v>
      </c>
      <c r="AF37" s="1" t="s">
        <v>61</v>
      </c>
      <c r="AG37" s="10">
        <f>AG35/AG36-1</f>
        <v>-1.3108489987382808</v>
      </c>
    </row>
    <row r="38" spans="2:33" x14ac:dyDescent="0.3">
      <c r="B38" t="s">
        <v>39</v>
      </c>
      <c r="E38" s="9">
        <f t="shared" ref="E38:K38" si="53">E22/E21</f>
        <v>0</v>
      </c>
      <c r="F38" s="9">
        <f t="shared" si="53"/>
        <v>0</v>
      </c>
      <c r="G38" s="9">
        <f t="shared" si="53"/>
        <v>0</v>
      </c>
      <c r="H38" s="9">
        <f t="shared" si="53"/>
        <v>0</v>
      </c>
      <c r="I38" s="9">
        <f t="shared" si="53"/>
        <v>0</v>
      </c>
      <c r="J38" s="9">
        <f t="shared" si="53"/>
        <v>0</v>
      </c>
      <c r="K38" s="9">
        <f t="shared" si="53"/>
        <v>0</v>
      </c>
      <c r="L38" s="9">
        <f>L22/L21</f>
        <v>-7.5357950263752838E-4</v>
      </c>
      <c r="M38" s="9">
        <f t="shared" ref="M38:N38" si="54">M22/M21</f>
        <v>0</v>
      </c>
      <c r="N38" s="9">
        <f t="shared" si="54"/>
        <v>0</v>
      </c>
      <c r="P38" s="9">
        <f t="shared" ref="P38:AD38" si="55">P22/P21</f>
        <v>0</v>
      </c>
      <c r="Q38" s="9">
        <f t="shared" si="55"/>
        <v>0</v>
      </c>
      <c r="R38" s="9">
        <f t="shared" si="55"/>
        <v>0</v>
      </c>
      <c r="S38" s="9">
        <f t="shared" si="55"/>
        <v>-1.6077170418006434E-4</v>
      </c>
      <c r="T38" s="9">
        <f t="shared" si="55"/>
        <v>0</v>
      </c>
      <c r="U38" s="9">
        <f t="shared" si="55"/>
        <v>0</v>
      </c>
      <c r="V38" s="9">
        <f t="shared" si="55"/>
        <v>0</v>
      </c>
      <c r="W38" s="9">
        <f t="shared" si="55"/>
        <v>0</v>
      </c>
      <c r="X38" s="9">
        <f t="shared" si="55"/>
        <v>0</v>
      </c>
      <c r="Y38" s="9">
        <f t="shared" si="55"/>
        <v>0</v>
      </c>
      <c r="Z38" s="9">
        <f t="shared" si="55"/>
        <v>0</v>
      </c>
      <c r="AA38" s="9">
        <f t="shared" si="55"/>
        <v>0</v>
      </c>
      <c r="AB38" s="9">
        <f t="shared" si="55"/>
        <v>0</v>
      </c>
      <c r="AC38" s="9">
        <f t="shared" si="55"/>
        <v>0</v>
      </c>
      <c r="AD38" s="9">
        <f t="shared" si="55"/>
        <v>0</v>
      </c>
      <c r="AF38" t="s">
        <v>62</v>
      </c>
      <c r="AG38" s="3" t="s">
        <v>68</v>
      </c>
    </row>
    <row r="39" spans="2:33" x14ac:dyDescent="0.3">
      <c r="B39" t="s">
        <v>40</v>
      </c>
      <c r="E39" s="9">
        <f t="shared" ref="E39:K39" si="56">E23/E21</f>
        <v>-8.539709649871904E-3</v>
      </c>
      <c r="F39" s="9">
        <f t="shared" si="56"/>
        <v>-9.0458488228004966E-2</v>
      </c>
      <c r="G39" s="9">
        <f t="shared" si="56"/>
        <v>-6.1403508771929821E-2</v>
      </c>
      <c r="H39" s="9">
        <f t="shared" si="56"/>
        <v>-5.7401812688821746E-2</v>
      </c>
      <c r="I39" s="9">
        <f t="shared" si="56"/>
        <v>-7.0472163495419312E-4</v>
      </c>
      <c r="J39" s="9">
        <f t="shared" si="56"/>
        <v>-6.5146579804560263E-4</v>
      </c>
      <c r="K39" s="9">
        <f t="shared" si="56"/>
        <v>-1.3559322033898306E-3</v>
      </c>
      <c r="L39" s="9">
        <f>L23/L21</f>
        <v>-6.7822155237377548E-3</v>
      </c>
      <c r="M39" s="9">
        <f t="shared" ref="M39:N39" si="57">M23/M21</f>
        <v>1E-3</v>
      </c>
      <c r="N39" s="9">
        <f t="shared" si="57"/>
        <v>0</v>
      </c>
      <c r="P39" s="9">
        <f t="shared" ref="P39:AD39" si="58">P23/P21</f>
        <v>-5.2409375454942498E-3</v>
      </c>
      <c r="Q39" s="9">
        <f t="shared" si="58"/>
        <v>-2.8850174216027872E-2</v>
      </c>
      <c r="R39" s="9">
        <f t="shared" si="58"/>
        <v>-1.9330504479019333E-2</v>
      </c>
      <c r="S39" s="9">
        <f t="shared" si="58"/>
        <v>-1.4469453376205793E-3</v>
      </c>
      <c r="T39" s="9">
        <f t="shared" si="58"/>
        <v>-2.0860190829025712E-3</v>
      </c>
      <c r="U39" s="9">
        <f t="shared" si="58"/>
        <v>-2.6848761410253751E-3</v>
      </c>
      <c r="V39" s="9">
        <f t="shared" si="58"/>
        <v>-4.1636123863464788E-3</v>
      </c>
      <c r="W39" s="9">
        <f t="shared" si="58"/>
        <v>-7.4938932281319957E-3</v>
      </c>
      <c r="X39" s="9">
        <f t="shared" si="58"/>
        <v>-2.3648045173007864E-2</v>
      </c>
      <c r="Y39" s="9">
        <f t="shared" si="58"/>
        <v>1.587786361489853E-2</v>
      </c>
      <c r="Z39" s="9">
        <f t="shared" si="58"/>
        <v>6.5527607779927114E-3</v>
      </c>
      <c r="AA39" s="9">
        <f t="shared" si="58"/>
        <v>4.1383394252172169E-3</v>
      </c>
      <c r="AB39" s="9">
        <f t="shared" si="58"/>
        <v>3.0337072946441056E-3</v>
      </c>
      <c r="AC39" s="9">
        <f t="shared" si="58"/>
        <v>2.4112639558401547E-3</v>
      </c>
      <c r="AD39" s="9">
        <f t="shared" si="58"/>
        <v>2.1308128362560416E-3</v>
      </c>
    </row>
    <row r="40" spans="2:33" x14ac:dyDescent="0.3">
      <c r="B40" t="s">
        <v>52</v>
      </c>
      <c r="E40" s="9">
        <f t="shared" ref="E40:K40" si="59">E24/E8</f>
        <v>-9.7201646090534997</v>
      </c>
      <c r="F40" s="9">
        <f t="shared" si="59"/>
        <v>-31.999999999999996</v>
      </c>
      <c r="G40" s="9">
        <f t="shared" si="59"/>
        <v>-13.570093457943928</v>
      </c>
      <c r="H40" s="9">
        <f t="shared" si="59"/>
        <v>-9.0909090909090899</v>
      </c>
      <c r="I40" s="9">
        <f t="shared" si="59"/>
        <v>236.66666666666669</v>
      </c>
      <c r="J40" s="9">
        <f t="shared" si="59"/>
        <v>-13.241379310344827</v>
      </c>
      <c r="K40" s="9">
        <f t="shared" si="59"/>
        <v>-19.693333333333332</v>
      </c>
      <c r="L40" s="9">
        <f>L24/L8</f>
        <v>-4.2715654952076676</v>
      </c>
      <c r="M40" s="9">
        <f t="shared" ref="M40:N40" si="60">M24/M8</f>
        <v>-7.9601593625498008</v>
      </c>
      <c r="N40" s="9">
        <f t="shared" si="60"/>
        <v>-2.9541666666666662</v>
      </c>
      <c r="P40" s="9" t="e">
        <f t="shared" ref="P40:AD40" si="61">P24/P8</f>
        <v>#DIV/0!</v>
      </c>
      <c r="Q40" s="9">
        <f t="shared" si="61"/>
        <v>-14.853118712273645</v>
      </c>
      <c r="R40" s="9">
        <f t="shared" si="61"/>
        <v>-24.089136490250695</v>
      </c>
      <c r="S40" s="9">
        <f t="shared" si="61"/>
        <v>-5.5674709562109017</v>
      </c>
      <c r="T40" s="9">
        <f t="shared" si="61"/>
        <v>-1.1078920664206637</v>
      </c>
      <c r="U40" s="9">
        <f t="shared" si="61"/>
        <v>-0.47849613058630569</v>
      </c>
      <c r="V40" s="9">
        <f t="shared" si="61"/>
        <v>-0.19352171927256842</v>
      </c>
      <c r="W40" s="9">
        <f t="shared" si="61"/>
        <v>-7.7055281496368019E-2</v>
      </c>
      <c r="X40" s="9">
        <f t="shared" si="61"/>
        <v>-1.9062208233673186E-2</v>
      </c>
      <c r="Y40" s="9">
        <f t="shared" si="61"/>
        <v>2.2685918272765379E-2</v>
      </c>
      <c r="Z40" s="9">
        <f t="shared" si="61"/>
        <v>4.8039746156615375E-2</v>
      </c>
      <c r="AA40" s="9">
        <f t="shared" si="61"/>
        <v>6.8841440201693707E-2</v>
      </c>
      <c r="AB40" s="9">
        <f t="shared" si="61"/>
        <v>8.6259279444860948E-2</v>
      </c>
      <c r="AC40" s="9">
        <f t="shared" si="61"/>
        <v>0.10212061468826314</v>
      </c>
      <c r="AD40" s="9">
        <f t="shared" si="61"/>
        <v>0.10906924548409755</v>
      </c>
    </row>
    <row r="42" spans="2:33" s="1" customFormat="1" x14ac:dyDescent="0.3">
      <c r="B42" s="1" t="s">
        <v>57</v>
      </c>
      <c r="F42" s="8">
        <f>F43+F44+F49-F60-F62</f>
        <v>-31.700000000000045</v>
      </c>
      <c r="G42" s="8">
        <f>G43+G44+G49-G60-G62</f>
        <v>-112.00000000000003</v>
      </c>
      <c r="I42" s="8">
        <f>I43+I44+I49-I60-I62</f>
        <v>120.49999999999997</v>
      </c>
      <c r="J42" s="8">
        <f>J43+J44+J49-J60-J62</f>
        <v>215.59999999999997</v>
      </c>
      <c r="K42" s="8">
        <f>K43+K44+K49-K60-K62</f>
        <v>103.69999999999999</v>
      </c>
      <c r="L42" s="8">
        <f>L43+L44+L49-L60-L62</f>
        <v>4.4000000000000341</v>
      </c>
      <c r="M42" s="8">
        <f>M43+M44+M49-M60-M62</f>
        <v>-125.29999999999998</v>
      </c>
      <c r="Q42" s="8">
        <f>Q43+Q44+Q49-Q60-Q62</f>
        <v>-31.700000000000045</v>
      </c>
      <c r="R42" s="8">
        <f>R43+R44+R49-R60-R62</f>
        <v>215.59999999999997</v>
      </c>
    </row>
    <row r="43" spans="2:33" x14ac:dyDescent="0.3">
      <c r="B43" t="s">
        <v>4</v>
      </c>
      <c r="F43" s="2">
        <v>233.4</v>
      </c>
      <c r="G43" s="2">
        <v>121.1</v>
      </c>
      <c r="I43" s="2">
        <v>362.9</v>
      </c>
      <c r="J43" s="2">
        <v>464.7</v>
      </c>
      <c r="K43" s="2">
        <v>345.6</v>
      </c>
      <c r="L43" s="2">
        <v>256.3</v>
      </c>
      <c r="M43" s="2">
        <v>198.3</v>
      </c>
      <c r="N43" s="2"/>
      <c r="Q43" s="2">
        <v>233.4</v>
      </c>
      <c r="R43" s="2">
        <v>464.7</v>
      </c>
      <c r="S43">
        <v>100</v>
      </c>
    </row>
    <row r="44" spans="2:33" x14ac:dyDescent="0.3">
      <c r="B44" t="s">
        <v>69</v>
      </c>
      <c r="F44" s="2">
        <v>10.6</v>
      </c>
      <c r="G44" s="2">
        <v>10.6</v>
      </c>
      <c r="I44" s="2">
        <v>1.2</v>
      </c>
      <c r="J44" s="2">
        <v>1.2</v>
      </c>
      <c r="K44" s="2">
        <v>1.2</v>
      </c>
      <c r="L44" s="2">
        <v>10.199999999999999</v>
      </c>
      <c r="M44" s="2">
        <v>3.4</v>
      </c>
      <c r="Q44" s="2">
        <v>10.6</v>
      </c>
      <c r="R44" s="2">
        <v>1.2</v>
      </c>
    </row>
    <row r="45" spans="2:33" x14ac:dyDescent="0.3">
      <c r="B45" t="s">
        <v>70</v>
      </c>
      <c r="F45" s="2">
        <v>31.9</v>
      </c>
      <c r="G45" s="2">
        <v>27.6</v>
      </c>
      <c r="I45" s="2">
        <v>10.7</v>
      </c>
      <c r="J45" s="2">
        <v>18</v>
      </c>
      <c r="K45" s="2">
        <v>23.9</v>
      </c>
      <c r="L45" s="2">
        <v>39.799999999999997</v>
      </c>
      <c r="M45" s="2">
        <v>51.8</v>
      </c>
      <c r="Q45" s="2">
        <v>31.9</v>
      </c>
      <c r="R45" s="2">
        <v>18</v>
      </c>
    </row>
    <row r="46" spans="2:33" x14ac:dyDescent="0.3">
      <c r="B46" t="s">
        <v>71</v>
      </c>
      <c r="F46" s="2">
        <v>123.2</v>
      </c>
      <c r="G46" s="2">
        <v>123.6</v>
      </c>
      <c r="I46" s="2">
        <v>57</v>
      </c>
      <c r="J46" s="2">
        <v>62.6</v>
      </c>
      <c r="K46" s="2">
        <v>61.3</v>
      </c>
      <c r="L46" s="2">
        <v>62.1</v>
      </c>
      <c r="M46" s="2">
        <v>76.099999999999994</v>
      </c>
      <c r="Q46" s="2">
        <v>123.2</v>
      </c>
      <c r="R46" s="2">
        <v>62.6</v>
      </c>
    </row>
    <row r="47" spans="2:33" x14ac:dyDescent="0.3">
      <c r="B47" t="s">
        <v>72</v>
      </c>
      <c r="F47" s="2">
        <v>37.799999999999997</v>
      </c>
      <c r="G47" s="2">
        <v>47.8</v>
      </c>
      <c r="I47" s="2">
        <v>39</v>
      </c>
      <c r="J47" s="2">
        <v>25.9</v>
      </c>
      <c r="K47" s="2">
        <v>37.200000000000003</v>
      </c>
      <c r="L47" s="2">
        <v>61.6</v>
      </c>
      <c r="M47" s="2">
        <v>62</v>
      </c>
      <c r="Q47" s="2">
        <v>37.799999999999997</v>
      </c>
      <c r="R47" s="2">
        <v>25.9</v>
      </c>
    </row>
    <row r="48" spans="2:33" s="1" customFormat="1" x14ac:dyDescent="0.3">
      <c r="B48" s="1" t="s">
        <v>83</v>
      </c>
      <c r="F48" s="8">
        <f>SUM(F43:F47)</f>
        <v>436.9</v>
      </c>
      <c r="G48" s="8">
        <f>SUM(G43:G47)</f>
        <v>330.7</v>
      </c>
      <c r="I48" s="8">
        <f>SUM(I43:I47)</f>
        <v>470.79999999999995</v>
      </c>
      <c r="J48" s="8">
        <f>SUM(J43:J47)</f>
        <v>572.4</v>
      </c>
      <c r="K48" s="8">
        <f>SUM(K43:K47)</f>
        <v>469.2</v>
      </c>
      <c r="L48" s="8">
        <f>SUM(L43:L47)</f>
        <v>430.00000000000006</v>
      </c>
      <c r="M48" s="8">
        <f>SUM(M43:M47)</f>
        <v>391.6</v>
      </c>
      <c r="Q48" s="8">
        <f>SUM(Q43:Q47)</f>
        <v>436.9</v>
      </c>
      <c r="R48" s="8">
        <f>SUM(R43:R47)</f>
        <v>572.4</v>
      </c>
    </row>
    <row r="49" spans="2:18" x14ac:dyDescent="0.3">
      <c r="B49" t="s">
        <v>69</v>
      </c>
      <c r="F49" s="2">
        <v>79</v>
      </c>
      <c r="G49" s="2">
        <v>74.599999999999994</v>
      </c>
      <c r="I49" s="2">
        <v>28</v>
      </c>
      <c r="J49" s="2">
        <v>28</v>
      </c>
      <c r="K49" s="2">
        <v>31.4</v>
      </c>
      <c r="L49" s="2">
        <v>16.100000000000001</v>
      </c>
      <c r="M49" s="2">
        <v>16.100000000000001</v>
      </c>
      <c r="Q49" s="2">
        <v>79</v>
      </c>
      <c r="R49" s="2">
        <v>28</v>
      </c>
    </row>
    <row r="50" spans="2:18" x14ac:dyDescent="0.3">
      <c r="B50" t="s">
        <v>73</v>
      </c>
      <c r="F50" s="2">
        <v>34.299999999999997</v>
      </c>
      <c r="G50" s="2">
        <v>32.4</v>
      </c>
      <c r="I50" s="2">
        <v>16.7</v>
      </c>
      <c r="J50" s="2">
        <v>15</v>
      </c>
      <c r="K50" s="2">
        <v>9</v>
      </c>
      <c r="L50" s="2">
        <v>8.9</v>
      </c>
      <c r="M50" s="2">
        <v>17.3</v>
      </c>
      <c r="Q50" s="2">
        <v>34.299999999999997</v>
      </c>
      <c r="R50" s="2">
        <v>15</v>
      </c>
    </row>
    <row r="51" spans="2:18" x14ac:dyDescent="0.3">
      <c r="B51" t="s">
        <v>74</v>
      </c>
      <c r="F51" s="2">
        <v>437</v>
      </c>
      <c r="G51" s="2">
        <v>475.4</v>
      </c>
      <c r="I51" s="2">
        <v>469.9</v>
      </c>
      <c r="J51" s="2">
        <v>503.4</v>
      </c>
      <c r="K51" s="2">
        <v>484.5</v>
      </c>
      <c r="L51" s="2">
        <v>494</v>
      </c>
      <c r="M51" s="2">
        <v>490.2</v>
      </c>
      <c r="Q51" s="2">
        <v>437</v>
      </c>
      <c r="R51" s="2">
        <v>503.4</v>
      </c>
    </row>
    <row r="52" spans="2:18" x14ac:dyDescent="0.3">
      <c r="B52" t="s">
        <v>75</v>
      </c>
      <c r="F52" s="2">
        <v>93.1</v>
      </c>
      <c r="G52" s="2">
        <v>91.9</v>
      </c>
      <c r="I52" s="2">
        <v>87.7</v>
      </c>
      <c r="J52" s="2">
        <v>85.9</v>
      </c>
      <c r="K52" s="2">
        <v>84</v>
      </c>
      <c r="L52" s="2">
        <v>82.2</v>
      </c>
      <c r="M52" s="2">
        <v>52.1</v>
      </c>
      <c r="Q52" s="2">
        <v>93.1</v>
      </c>
      <c r="R52" s="2">
        <v>85.9</v>
      </c>
    </row>
    <row r="53" spans="2:18" x14ac:dyDescent="0.3">
      <c r="B53" t="s">
        <v>76</v>
      </c>
      <c r="F53" s="2">
        <v>72.8</v>
      </c>
      <c r="G53" s="2">
        <v>68.7</v>
      </c>
      <c r="I53" s="2">
        <v>58.2</v>
      </c>
      <c r="J53" s="2">
        <v>57.1</v>
      </c>
      <c r="K53" s="2">
        <v>56.9</v>
      </c>
      <c r="L53" s="2">
        <v>56</v>
      </c>
      <c r="M53" s="2">
        <v>56.2</v>
      </c>
      <c r="Q53" s="2">
        <v>72.8</v>
      </c>
      <c r="R53" s="2">
        <v>57.1</v>
      </c>
    </row>
    <row r="54" spans="2:18" x14ac:dyDescent="0.3">
      <c r="B54" t="s">
        <v>77</v>
      </c>
      <c r="F54" s="2">
        <v>6.7</v>
      </c>
      <c r="G54" s="2">
        <v>6.7</v>
      </c>
      <c r="I54" s="2">
        <v>5.2</v>
      </c>
      <c r="J54" s="2">
        <v>5.2</v>
      </c>
      <c r="K54" s="2">
        <v>5.2</v>
      </c>
      <c r="L54" s="2">
        <v>5.2</v>
      </c>
      <c r="M54" s="2">
        <v>0</v>
      </c>
      <c r="Q54" s="2">
        <v>6.7</v>
      </c>
      <c r="R54" s="2">
        <v>5.2</v>
      </c>
    </row>
    <row r="55" spans="2:18" x14ac:dyDescent="0.3">
      <c r="B55" t="s">
        <v>78</v>
      </c>
      <c r="F55" s="2">
        <f>44.8+32</f>
        <v>76.8</v>
      </c>
      <c r="G55" s="2">
        <f>44.8+33.1</f>
        <v>77.900000000000006</v>
      </c>
      <c r="I55" s="2">
        <v>11.9</v>
      </c>
      <c r="J55" s="2">
        <v>7.9</v>
      </c>
      <c r="K55" s="2">
        <v>11.8</v>
      </c>
      <c r="L55" s="2">
        <v>17.399999999999999</v>
      </c>
      <c r="M55" s="2">
        <v>12.6</v>
      </c>
      <c r="Q55" s="2">
        <f>44.8+32</f>
        <v>76.8</v>
      </c>
      <c r="R55" s="2">
        <v>7.9</v>
      </c>
    </row>
    <row r="56" spans="2:18" s="1" customFormat="1" x14ac:dyDescent="0.3">
      <c r="B56" s="1" t="s">
        <v>84</v>
      </c>
      <c r="F56" s="8">
        <f>SUM(F49:F55)</f>
        <v>799.69999999999993</v>
      </c>
      <c r="G56" s="8">
        <f>SUM(G49:G55)</f>
        <v>827.6</v>
      </c>
      <c r="I56" s="8">
        <f>SUM(I49:I55)</f>
        <v>677.60000000000014</v>
      </c>
      <c r="J56" s="8">
        <f>SUM(J49:J55)</f>
        <v>702.5</v>
      </c>
      <c r="K56" s="8">
        <f>SUM(K49:K55)</f>
        <v>682.8</v>
      </c>
      <c r="L56" s="8">
        <f>SUM(L49:L55)</f>
        <v>679.80000000000007</v>
      </c>
      <c r="M56" s="8">
        <f>SUM(M49:M55)</f>
        <v>644.50000000000011</v>
      </c>
      <c r="Q56" s="8">
        <f>SUM(Q49:Q55)</f>
        <v>799.69999999999993</v>
      </c>
      <c r="R56" s="8">
        <f>SUM(R49:R55)</f>
        <v>702.5</v>
      </c>
    </row>
    <row r="57" spans="2:18" s="1" customFormat="1" x14ac:dyDescent="0.3">
      <c r="B57" s="1" t="s">
        <v>85</v>
      </c>
      <c r="F57" s="11">
        <f>F48+F56</f>
        <v>1236.5999999999999</v>
      </c>
      <c r="G57" s="11">
        <f>G48+G56</f>
        <v>1158.3</v>
      </c>
      <c r="H57" s="12"/>
      <c r="I57" s="11">
        <f>I48+I56</f>
        <v>1148.4000000000001</v>
      </c>
      <c r="J57" s="11">
        <f>J48+J56</f>
        <v>1274.9000000000001</v>
      </c>
      <c r="K57" s="11">
        <f>K48+K56</f>
        <v>1152</v>
      </c>
      <c r="L57" s="11">
        <f>L48+L56</f>
        <v>1109.8000000000002</v>
      </c>
      <c r="M57" s="11">
        <f>M48+M56</f>
        <v>1036.1000000000001</v>
      </c>
      <c r="Q57" s="11">
        <f>Q48+Q56</f>
        <v>1236.5999999999999</v>
      </c>
      <c r="R57" s="11">
        <f>R48+R56</f>
        <v>1274.9000000000001</v>
      </c>
    </row>
    <row r="58" spans="2:18" x14ac:dyDescent="0.3">
      <c r="B58" t="s">
        <v>79</v>
      </c>
      <c r="F58" s="2">
        <v>117.9</v>
      </c>
      <c r="G58" s="2">
        <v>78</v>
      </c>
      <c r="I58" s="2">
        <v>48.8</v>
      </c>
      <c r="J58" s="2">
        <v>44.1</v>
      </c>
      <c r="K58" s="2">
        <v>44.9</v>
      </c>
      <c r="L58" s="2">
        <v>55.6</v>
      </c>
      <c r="M58" s="2">
        <v>57.2</v>
      </c>
      <c r="Q58" s="2">
        <v>117.9</v>
      </c>
      <c r="R58" s="2">
        <v>44.1</v>
      </c>
    </row>
    <row r="59" spans="2:18" x14ac:dyDescent="0.3">
      <c r="B59" t="s">
        <v>80</v>
      </c>
      <c r="F59" s="2">
        <v>202.6</v>
      </c>
      <c r="G59" s="2">
        <v>176.8</v>
      </c>
      <c r="I59" s="2">
        <v>205.2</v>
      </c>
      <c r="J59" s="2">
        <v>207</v>
      </c>
      <c r="K59" s="2">
        <v>220.2</v>
      </c>
      <c r="L59" s="2">
        <v>214</v>
      </c>
      <c r="M59" s="2">
        <v>205.5</v>
      </c>
      <c r="Q59" s="2">
        <v>202.6</v>
      </c>
      <c r="R59" s="2">
        <v>207</v>
      </c>
    </row>
    <row r="60" spans="2:18" x14ac:dyDescent="0.3">
      <c r="B60" t="s">
        <v>5</v>
      </c>
      <c r="F60" s="2">
        <v>63.1</v>
      </c>
      <c r="G60" s="2">
        <v>21.8</v>
      </c>
      <c r="I60" s="2">
        <v>39.200000000000003</v>
      </c>
      <c r="J60" s="2">
        <v>9</v>
      </c>
      <c r="K60" s="2">
        <v>6.2</v>
      </c>
      <c r="L60" s="2">
        <v>11.8</v>
      </c>
      <c r="M60" s="2">
        <v>73.099999999999994</v>
      </c>
      <c r="Q60" s="2">
        <v>63.1</v>
      </c>
      <c r="R60" s="2">
        <v>9</v>
      </c>
    </row>
    <row r="61" spans="2:18" s="1" customFormat="1" x14ac:dyDescent="0.3">
      <c r="B61" s="1" t="s">
        <v>86</v>
      </c>
      <c r="F61" s="8">
        <f>SUM(F58:F60)</f>
        <v>383.6</v>
      </c>
      <c r="G61" s="8">
        <f>SUM(G58:G60)</f>
        <v>276.60000000000002</v>
      </c>
      <c r="I61" s="8">
        <f>SUM(I58:I60)</f>
        <v>293.2</v>
      </c>
      <c r="J61" s="8">
        <f>SUM(J58:J60)</f>
        <v>260.10000000000002</v>
      </c>
      <c r="K61" s="8">
        <f>SUM(K58:K60)</f>
        <v>271.29999999999995</v>
      </c>
      <c r="L61" s="8">
        <f>SUM(L58:L60)</f>
        <v>281.40000000000003</v>
      </c>
      <c r="M61" s="8">
        <f>SUM(M58:M60)</f>
        <v>335.79999999999995</v>
      </c>
      <c r="Q61" s="8">
        <f>SUM(Q58:Q60)</f>
        <v>383.6</v>
      </c>
      <c r="R61" s="8">
        <f>SUM(R58:R60)</f>
        <v>260.10000000000002</v>
      </c>
    </row>
    <row r="62" spans="2:18" x14ac:dyDescent="0.3">
      <c r="B62" t="s">
        <v>5</v>
      </c>
      <c r="F62" s="2">
        <v>291.60000000000002</v>
      </c>
      <c r="G62" s="2">
        <v>296.5</v>
      </c>
      <c r="I62" s="2">
        <v>232.4</v>
      </c>
      <c r="J62" s="2">
        <v>269.3</v>
      </c>
      <c r="K62" s="2">
        <v>268.3</v>
      </c>
      <c r="L62" s="2">
        <v>266.39999999999998</v>
      </c>
      <c r="M62" s="2">
        <v>270</v>
      </c>
      <c r="Q62" s="2">
        <v>291.60000000000002</v>
      </c>
      <c r="R62" s="2">
        <v>269.3</v>
      </c>
    </row>
    <row r="63" spans="2:18" x14ac:dyDescent="0.3">
      <c r="B63" t="s">
        <v>81</v>
      </c>
      <c r="F63" s="2">
        <v>28.2</v>
      </c>
      <c r="G63" s="2">
        <v>27.5</v>
      </c>
      <c r="I63" s="2">
        <v>5</v>
      </c>
      <c r="J63" s="2">
        <v>4.8</v>
      </c>
      <c r="K63" s="2">
        <v>5.3</v>
      </c>
      <c r="L63" s="2">
        <v>7.4</v>
      </c>
      <c r="M63" s="2">
        <v>6.8</v>
      </c>
      <c r="Q63" s="2">
        <v>28.2</v>
      </c>
      <c r="R63" s="2">
        <v>4.8</v>
      </c>
    </row>
    <row r="64" spans="2:18" x14ac:dyDescent="0.3">
      <c r="B64" t="s">
        <v>82</v>
      </c>
      <c r="F64" s="2">
        <v>6.7</v>
      </c>
      <c r="G64" s="2">
        <f>4.3+7.7</f>
        <v>12</v>
      </c>
      <c r="I64" s="2">
        <v>14.2</v>
      </c>
      <c r="J64" s="2">
        <v>21.5</v>
      </c>
      <c r="K64" s="2">
        <v>21</v>
      </c>
      <c r="L64" s="2">
        <v>31.3</v>
      </c>
      <c r="M64" s="2">
        <v>44.2</v>
      </c>
      <c r="Q64" s="2">
        <v>6.7</v>
      </c>
      <c r="R64" s="2">
        <v>21.5</v>
      </c>
    </row>
    <row r="65" spans="2:30" s="1" customFormat="1" x14ac:dyDescent="0.3">
      <c r="B65" s="1" t="s">
        <v>87</v>
      </c>
      <c r="F65" s="8">
        <f>SUM(F62:F64)</f>
        <v>326.5</v>
      </c>
      <c r="G65" s="8">
        <f>SUM(G62:G64)</f>
        <v>336</v>
      </c>
      <c r="I65" s="8">
        <f>SUM(I62:I64)</f>
        <v>251.6</v>
      </c>
      <c r="J65" s="8">
        <f>SUM(J62:J64)</f>
        <v>295.60000000000002</v>
      </c>
      <c r="K65" s="8">
        <f>SUM(K62:K64)</f>
        <v>294.60000000000002</v>
      </c>
      <c r="L65" s="8">
        <f>SUM(L62:L64)</f>
        <v>305.09999999999997</v>
      </c>
      <c r="M65" s="8">
        <f>SUM(M62:M64)</f>
        <v>321</v>
      </c>
      <c r="Q65" s="8">
        <f>SUM(Q62:Q64)</f>
        <v>326.5</v>
      </c>
      <c r="R65" s="8">
        <f>SUM(R62:R64)</f>
        <v>295.60000000000002</v>
      </c>
    </row>
    <row r="66" spans="2:30" s="1" customFormat="1" x14ac:dyDescent="0.3">
      <c r="B66" s="1" t="s">
        <v>88</v>
      </c>
      <c r="F66" s="8">
        <v>526.5</v>
      </c>
      <c r="G66" s="8">
        <v>545.9</v>
      </c>
      <c r="I66" s="8">
        <v>603.6</v>
      </c>
      <c r="J66" s="8">
        <v>719.2</v>
      </c>
      <c r="K66" s="8">
        <v>586.29999999999995</v>
      </c>
      <c r="L66" s="8">
        <v>523.6</v>
      </c>
      <c r="M66" s="8">
        <v>379.2</v>
      </c>
      <c r="Q66" s="8">
        <v>526.5</v>
      </c>
      <c r="R66" s="8">
        <v>719.2</v>
      </c>
    </row>
    <row r="67" spans="2:30" s="1" customFormat="1" x14ac:dyDescent="0.3">
      <c r="B67" s="1" t="s">
        <v>89</v>
      </c>
      <c r="F67" s="11">
        <f>F61+F65+F66</f>
        <v>1236.5999999999999</v>
      </c>
      <c r="G67" s="11">
        <f>G61+G65+G66</f>
        <v>1158.5</v>
      </c>
      <c r="H67" s="12"/>
      <c r="I67" s="11">
        <f>I61+I65+I66</f>
        <v>1148.4000000000001</v>
      </c>
      <c r="J67" s="11">
        <f>J61+J65+J66</f>
        <v>1274.9000000000001</v>
      </c>
      <c r="K67" s="11">
        <f>K61+K65+K66</f>
        <v>1152.1999999999998</v>
      </c>
      <c r="L67" s="11">
        <f>L61+L65+L66</f>
        <v>1110.0999999999999</v>
      </c>
      <c r="M67" s="11">
        <f>M61+M65+M66</f>
        <v>1036</v>
      </c>
      <c r="Q67" s="11">
        <f>Q61+Q65+Q66</f>
        <v>1236.5999999999999</v>
      </c>
      <c r="R67" s="11">
        <f>R61+R65+R66</f>
        <v>1274.9000000000001</v>
      </c>
    </row>
    <row r="69" spans="2:30" s="1" customFormat="1" x14ac:dyDescent="0.3">
      <c r="B69" s="1" t="s">
        <v>41</v>
      </c>
      <c r="F69" s="8"/>
      <c r="G69" s="8">
        <f t="shared" ref="G69" si="62">G24</f>
        <v>-145.20000000000002</v>
      </c>
      <c r="H69" s="8">
        <f>H24</f>
        <v>-140</v>
      </c>
      <c r="I69" s="8">
        <f t="shared" ref="I69:K69" si="63">I24</f>
        <v>-426</v>
      </c>
      <c r="J69" s="8">
        <f t="shared" si="63"/>
        <v>-153.6</v>
      </c>
      <c r="K69" s="8">
        <f t="shared" si="63"/>
        <v>-147.69999999999999</v>
      </c>
      <c r="L69" s="8">
        <f>L24</f>
        <v>-133.69999999999999</v>
      </c>
      <c r="M69" s="8">
        <f>M24</f>
        <v>-199.8</v>
      </c>
      <c r="N69" s="8">
        <f t="shared" ref="N69" si="64">N24</f>
        <v>-141.79999999999998</v>
      </c>
      <c r="R69" s="8">
        <f t="shared" ref="R69:AD69" si="65">R24</f>
        <v>-864.8</v>
      </c>
      <c r="S69" s="8">
        <f t="shared" si="65"/>
        <v>-622.99999999999989</v>
      </c>
      <c r="T69" s="8">
        <f t="shared" si="65"/>
        <v>-480.38199999999983</v>
      </c>
      <c r="U69" s="8">
        <f t="shared" si="65"/>
        <v>-373.45665999999994</v>
      </c>
      <c r="V69" s="8">
        <f t="shared" si="65"/>
        <v>-241.17605559999987</v>
      </c>
      <c r="W69" s="8">
        <f t="shared" si="65"/>
        <v>-134.44198663599991</v>
      </c>
      <c r="X69" s="8">
        <f t="shared" si="65"/>
        <v>-43.286793376960006</v>
      </c>
      <c r="Y69" s="8">
        <f t="shared" si="65"/>
        <v>61.980765186928494</v>
      </c>
      <c r="Z69" s="8">
        <f t="shared" si="65"/>
        <v>151.60743278748643</v>
      </c>
      <c r="AA69" s="8">
        <f t="shared" si="65"/>
        <v>240.64281786709921</v>
      </c>
      <c r="AB69" s="8">
        <f t="shared" si="65"/>
        <v>328.62969162036887</v>
      </c>
      <c r="AC69" s="8">
        <f t="shared" si="65"/>
        <v>413.72025390582792</v>
      </c>
      <c r="AD69" s="8">
        <f t="shared" si="65"/>
        <v>468.30447526168297</v>
      </c>
    </row>
    <row r="70" spans="2:30" x14ac:dyDescent="0.3">
      <c r="B70" t="s">
        <v>90</v>
      </c>
      <c r="G70" s="2">
        <v>6.2</v>
      </c>
      <c r="H70" s="2">
        <f t="shared" ref="H70:H85" si="66">H94-G70</f>
        <v>5.6000000000000005</v>
      </c>
      <c r="I70" s="2">
        <f t="shared" ref="I70:I85" si="67">I94-H70-G70</f>
        <v>17</v>
      </c>
      <c r="J70" s="2">
        <f t="shared" ref="J70:J85" si="68">J94-I70-H70-G70</f>
        <v>7.099999999999997</v>
      </c>
      <c r="K70" s="2">
        <v>10.6</v>
      </c>
      <c r="L70" s="2">
        <f t="shared" ref="L70:L85" si="69">L94-K70</f>
        <v>11.1</v>
      </c>
      <c r="M70" s="2">
        <f>33.4-L70-K70</f>
        <v>11.699999999999998</v>
      </c>
      <c r="N70">
        <v>12</v>
      </c>
      <c r="R70" s="2">
        <f>SUM(G70:J70)</f>
        <v>35.9</v>
      </c>
      <c r="S70" s="2">
        <f t="shared" ref="S70:S85" si="70">SUM(K70:N70)</f>
        <v>45.4</v>
      </c>
      <c r="T70" s="2">
        <f>S70*1.05</f>
        <v>47.67</v>
      </c>
      <c r="U70" s="2">
        <f t="shared" ref="U70:AD70" si="71">T70*1.05</f>
        <v>50.053500000000007</v>
      </c>
      <c r="V70" s="2">
        <f t="shared" si="71"/>
        <v>52.55617500000001</v>
      </c>
      <c r="W70" s="2">
        <f t="shared" si="71"/>
        <v>55.18398375000001</v>
      </c>
      <c r="X70" s="2">
        <f t="shared" si="71"/>
        <v>57.943182937500012</v>
      </c>
      <c r="Y70" s="2">
        <f t="shared" si="71"/>
        <v>60.840342084375017</v>
      </c>
      <c r="Z70" s="2">
        <f t="shared" si="71"/>
        <v>63.882359188593767</v>
      </c>
      <c r="AA70" s="2">
        <f t="shared" si="71"/>
        <v>67.076477148023457</v>
      </c>
      <c r="AB70" s="2">
        <f t="shared" si="71"/>
        <v>70.430301005424639</v>
      </c>
      <c r="AC70" s="2">
        <f t="shared" si="71"/>
        <v>73.951816055695872</v>
      </c>
      <c r="AD70" s="2">
        <f t="shared" si="71"/>
        <v>77.649406858480674</v>
      </c>
    </row>
    <row r="71" spans="2:30" x14ac:dyDescent="0.3">
      <c r="B71" t="s">
        <v>91</v>
      </c>
      <c r="G71" s="2">
        <v>24.5</v>
      </c>
      <c r="H71" s="2">
        <f t="shared" si="66"/>
        <v>25.799999999999997</v>
      </c>
      <c r="I71" s="2">
        <f t="shared" si="67"/>
        <v>18.600000000000009</v>
      </c>
      <c r="J71" s="2">
        <f t="shared" si="68"/>
        <v>6.5</v>
      </c>
      <c r="K71" s="2">
        <v>8.8000000000000007</v>
      </c>
      <c r="L71" s="2">
        <f t="shared" si="69"/>
        <v>7.8999999999999986</v>
      </c>
      <c r="M71" s="2">
        <f>25.3-L71-K71</f>
        <v>8.6000000000000014</v>
      </c>
      <c r="N71">
        <v>9</v>
      </c>
      <c r="R71" s="2">
        <f t="shared" ref="R71:R85" si="72">SUM(G71:J71)</f>
        <v>75.400000000000006</v>
      </c>
      <c r="S71" s="2">
        <f t="shared" si="70"/>
        <v>34.299999999999997</v>
      </c>
      <c r="T71" s="2">
        <f>S71*0.95</f>
        <v>32.584999999999994</v>
      </c>
      <c r="U71" s="2">
        <f t="shared" ref="U71:AD71" si="73">T71*0.95</f>
        <v>30.955749999999991</v>
      </c>
      <c r="V71" s="2">
        <f t="shared" si="73"/>
        <v>29.407962499999989</v>
      </c>
      <c r="W71" s="2">
        <f t="shared" si="73"/>
        <v>27.93756437499999</v>
      </c>
      <c r="X71" s="2">
        <f t="shared" si="73"/>
        <v>26.54068615624999</v>
      </c>
      <c r="Y71" s="2">
        <f t="shared" si="73"/>
        <v>25.21365184843749</v>
      </c>
      <c r="Z71" s="2">
        <f t="shared" si="73"/>
        <v>23.952969256015614</v>
      </c>
      <c r="AA71" s="2">
        <f t="shared" si="73"/>
        <v>22.755320793214832</v>
      </c>
      <c r="AB71" s="2">
        <f t="shared" si="73"/>
        <v>21.617554753554089</v>
      </c>
      <c r="AC71" s="2">
        <f t="shared" si="73"/>
        <v>20.536677015876382</v>
      </c>
      <c r="AD71" s="2">
        <f t="shared" si="73"/>
        <v>19.509843165082561</v>
      </c>
    </row>
    <row r="72" spans="2:30" x14ac:dyDescent="0.3">
      <c r="B72" t="s">
        <v>92</v>
      </c>
      <c r="G72" s="2">
        <v>8.4</v>
      </c>
      <c r="H72" s="2">
        <f t="shared" si="66"/>
        <v>7.6</v>
      </c>
      <c r="I72" s="2">
        <f t="shared" si="67"/>
        <v>0.30000000000000071</v>
      </c>
      <c r="J72" s="2">
        <f t="shared" si="68"/>
        <v>9.9999999999997868E-2</v>
      </c>
      <c r="K72" s="2">
        <v>0.2</v>
      </c>
      <c r="L72" s="2">
        <f t="shared" si="69"/>
        <v>0.8</v>
      </c>
      <c r="M72" s="2">
        <f>0.9-L72-K72</f>
        <v>-0.10000000000000003</v>
      </c>
      <c r="N72">
        <v>0</v>
      </c>
      <c r="R72" s="2">
        <f t="shared" si="72"/>
        <v>16.399999999999999</v>
      </c>
      <c r="S72" s="2">
        <f t="shared" si="70"/>
        <v>0.89999999999999991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</row>
    <row r="73" spans="2:30" x14ac:dyDescent="0.3">
      <c r="B73" t="s">
        <v>93</v>
      </c>
      <c r="G73" s="2">
        <v>-0.2</v>
      </c>
      <c r="H73" s="2">
        <f t="shared" si="66"/>
        <v>5.6000000000000005</v>
      </c>
      <c r="I73" s="2">
        <f t="shared" si="67"/>
        <v>145.69999999999999</v>
      </c>
      <c r="J73" s="2">
        <f t="shared" si="68"/>
        <v>10.500000000000004</v>
      </c>
      <c r="K73" s="2">
        <v>0.8</v>
      </c>
      <c r="L73" s="2">
        <f t="shared" si="69"/>
        <v>-2.9000000000000004</v>
      </c>
      <c r="M73" s="2">
        <f>6.3-L73-K73</f>
        <v>8.3999999999999986</v>
      </c>
      <c r="N73">
        <v>5</v>
      </c>
      <c r="R73" s="2">
        <f t="shared" si="72"/>
        <v>161.6</v>
      </c>
      <c r="S73" s="2">
        <f t="shared" si="70"/>
        <v>11.299999999999997</v>
      </c>
      <c r="T73" s="2">
        <f>S73*0.9</f>
        <v>10.169999999999998</v>
      </c>
      <c r="U73" s="2">
        <f t="shared" ref="U73:AD73" si="74">T73*0.9</f>
        <v>9.1529999999999987</v>
      </c>
      <c r="V73" s="2">
        <f t="shared" si="74"/>
        <v>8.2376999999999985</v>
      </c>
      <c r="W73" s="2">
        <f t="shared" si="74"/>
        <v>7.4139299999999988</v>
      </c>
      <c r="X73" s="2">
        <f t="shared" si="74"/>
        <v>6.6725369999999993</v>
      </c>
      <c r="Y73" s="2">
        <f t="shared" si="74"/>
        <v>6.0052832999999994</v>
      </c>
      <c r="Z73" s="2">
        <f t="shared" si="74"/>
        <v>5.4047549699999999</v>
      </c>
      <c r="AA73" s="2">
        <f t="shared" si="74"/>
        <v>4.8642794729999999</v>
      </c>
      <c r="AB73" s="2">
        <f t="shared" si="74"/>
        <v>4.3778515256999997</v>
      </c>
      <c r="AC73" s="2">
        <f t="shared" si="74"/>
        <v>3.9400663731299996</v>
      </c>
      <c r="AD73" s="2">
        <f t="shared" si="74"/>
        <v>3.5460597358169998</v>
      </c>
    </row>
    <row r="74" spans="2:30" x14ac:dyDescent="0.3">
      <c r="B74" t="s">
        <v>94</v>
      </c>
      <c r="G74" s="2">
        <v>2.2999999999999998</v>
      </c>
      <c r="H74" s="2">
        <f t="shared" si="66"/>
        <v>10.399999999999999</v>
      </c>
      <c r="I74" s="2">
        <f t="shared" si="67"/>
        <v>51.800000000000004</v>
      </c>
      <c r="J74" s="2">
        <f t="shared" si="68"/>
        <v>6.7</v>
      </c>
      <c r="K74" s="2">
        <v>20</v>
      </c>
      <c r="L74" s="2">
        <f t="shared" si="69"/>
        <v>17.600000000000001</v>
      </c>
      <c r="M74" s="2">
        <f>56.6-L74-K74</f>
        <v>19</v>
      </c>
      <c r="N74">
        <v>20</v>
      </c>
      <c r="R74" s="2">
        <f t="shared" si="72"/>
        <v>71.2</v>
      </c>
      <c r="S74" s="2">
        <f t="shared" si="70"/>
        <v>76.599999999999994</v>
      </c>
      <c r="T74" s="2">
        <f>S74*0.9</f>
        <v>68.94</v>
      </c>
      <c r="U74" s="2">
        <f t="shared" ref="U74:AD74" si="75">T74*0.9</f>
        <v>62.045999999999999</v>
      </c>
      <c r="V74" s="2">
        <f t="shared" si="75"/>
        <v>55.8414</v>
      </c>
      <c r="W74" s="2">
        <f t="shared" si="75"/>
        <v>50.257260000000002</v>
      </c>
      <c r="X74" s="2">
        <f t="shared" si="75"/>
        <v>45.231534000000003</v>
      </c>
      <c r="Y74" s="2">
        <f t="shared" si="75"/>
        <v>40.708380600000005</v>
      </c>
      <c r="Z74" s="2">
        <f t="shared" si="75"/>
        <v>36.637542540000005</v>
      </c>
      <c r="AA74" s="2">
        <f t="shared" si="75"/>
        <v>32.973788286000008</v>
      </c>
      <c r="AB74" s="2">
        <f t="shared" si="75"/>
        <v>29.676409457400009</v>
      </c>
      <c r="AC74" s="2">
        <f t="shared" si="75"/>
        <v>26.708768511660008</v>
      </c>
      <c r="AD74" s="2">
        <f t="shared" si="75"/>
        <v>24.037891660494008</v>
      </c>
    </row>
    <row r="75" spans="2:30" x14ac:dyDescent="0.3">
      <c r="B75" t="s">
        <v>95</v>
      </c>
      <c r="G75" s="2">
        <v>10</v>
      </c>
      <c r="H75" s="2">
        <f t="shared" si="66"/>
        <v>9.3999999999999986</v>
      </c>
      <c r="I75" s="2">
        <f t="shared" si="67"/>
        <v>53.4</v>
      </c>
      <c r="J75" s="2">
        <f t="shared" si="68"/>
        <v>6.4000000000000057</v>
      </c>
      <c r="K75" s="2">
        <v>3.6</v>
      </c>
      <c r="L75" s="2">
        <f t="shared" si="69"/>
        <v>4.1999999999999993</v>
      </c>
      <c r="M75" s="2">
        <f>11.9-L75-K75</f>
        <v>4.1000000000000014</v>
      </c>
      <c r="N75">
        <v>4</v>
      </c>
      <c r="R75" s="2">
        <f t="shared" si="72"/>
        <v>79.2</v>
      </c>
      <c r="S75" s="2">
        <f t="shared" si="70"/>
        <v>15.9</v>
      </c>
      <c r="T75" s="2">
        <f>S75*1.05</f>
        <v>16.695</v>
      </c>
      <c r="U75" s="2">
        <f t="shared" ref="U75:AD75" si="76">T75*1.05</f>
        <v>17.52975</v>
      </c>
      <c r="V75" s="2">
        <f t="shared" si="76"/>
        <v>18.4062375</v>
      </c>
      <c r="W75" s="2">
        <f t="shared" si="76"/>
        <v>19.326549374999999</v>
      </c>
      <c r="X75" s="2">
        <f t="shared" si="76"/>
        <v>20.292876843750001</v>
      </c>
      <c r="Y75" s="2">
        <f t="shared" si="76"/>
        <v>21.307520685937501</v>
      </c>
      <c r="Z75" s="2">
        <f t="shared" si="76"/>
        <v>22.372896720234376</v>
      </c>
      <c r="AA75" s="2">
        <f t="shared" si="76"/>
        <v>23.491541556246094</v>
      </c>
      <c r="AB75" s="2">
        <f t="shared" si="76"/>
        <v>24.6661186340584</v>
      </c>
      <c r="AC75" s="2">
        <f t="shared" si="76"/>
        <v>25.899424565761322</v>
      </c>
      <c r="AD75" s="2">
        <f t="shared" si="76"/>
        <v>27.194395794049388</v>
      </c>
    </row>
    <row r="76" spans="2:30" x14ac:dyDescent="0.3">
      <c r="B76" t="s">
        <v>96</v>
      </c>
      <c r="G76" s="2">
        <v>0</v>
      </c>
      <c r="H76" s="2">
        <f t="shared" si="66"/>
        <v>-32.699999999999996</v>
      </c>
      <c r="I76" s="2">
        <f t="shared" si="67"/>
        <v>0.69999999999999574</v>
      </c>
      <c r="J76" s="2">
        <f t="shared" si="68"/>
        <v>21</v>
      </c>
      <c r="K76" s="2">
        <v>2.7</v>
      </c>
      <c r="L76" s="2">
        <f t="shared" si="69"/>
        <v>2.8</v>
      </c>
      <c r="M76" s="2">
        <f>3.2+2.9+33.4-L76-K76</f>
        <v>34</v>
      </c>
      <c r="N76">
        <v>5</v>
      </c>
      <c r="R76" s="2">
        <f t="shared" si="72"/>
        <v>-11</v>
      </c>
      <c r="S76" s="2">
        <f t="shared" si="70"/>
        <v>44.5</v>
      </c>
      <c r="T76" s="2">
        <f>S76*0.98</f>
        <v>43.61</v>
      </c>
      <c r="U76" s="2">
        <f t="shared" ref="U76:AD76" si="77">T76*0.98</f>
        <v>42.7378</v>
      </c>
      <c r="V76" s="2">
        <f t="shared" si="77"/>
        <v>41.883043999999998</v>
      </c>
      <c r="W76" s="2">
        <f t="shared" si="77"/>
        <v>41.045383119999997</v>
      </c>
      <c r="X76" s="2">
        <f t="shared" si="77"/>
        <v>40.224475457599993</v>
      </c>
      <c r="Y76" s="2">
        <f t="shared" si="77"/>
        <v>39.419985948447994</v>
      </c>
      <c r="Z76" s="2">
        <f t="shared" si="77"/>
        <v>38.631586229479034</v>
      </c>
      <c r="AA76" s="2">
        <f t="shared" si="77"/>
        <v>37.858954504889454</v>
      </c>
      <c r="AB76" s="2">
        <f t="shared" si="77"/>
        <v>37.101775414791661</v>
      </c>
      <c r="AC76" s="2">
        <f t="shared" si="77"/>
        <v>36.359739906495825</v>
      </c>
      <c r="AD76" s="2">
        <f t="shared" si="77"/>
        <v>35.63254510836591</v>
      </c>
    </row>
    <row r="77" spans="2:30" x14ac:dyDescent="0.3">
      <c r="B77" t="s">
        <v>97</v>
      </c>
      <c r="G77" s="2">
        <v>0.5</v>
      </c>
      <c r="H77" s="2">
        <f t="shared" si="66"/>
        <v>0.5</v>
      </c>
      <c r="I77" s="2">
        <f t="shared" si="67"/>
        <v>2.9</v>
      </c>
      <c r="J77" s="2">
        <f t="shared" si="68"/>
        <v>0.39999999999999991</v>
      </c>
      <c r="K77" s="2">
        <v>2.9</v>
      </c>
      <c r="L77" s="2">
        <f t="shared" si="69"/>
        <v>0.80000000000000027</v>
      </c>
      <c r="M77" s="2">
        <f>5.7-L77-K77</f>
        <v>2.0000000000000004</v>
      </c>
      <c r="N77">
        <v>2</v>
      </c>
      <c r="R77" s="2">
        <f t="shared" si="72"/>
        <v>4.3</v>
      </c>
      <c r="S77" s="2">
        <f t="shared" si="70"/>
        <v>7.7000000000000011</v>
      </c>
      <c r="T77" s="2">
        <f>S77*1.03</f>
        <v>7.9310000000000009</v>
      </c>
      <c r="U77" s="2">
        <f t="shared" ref="U77:AD77" si="78">T77*1.03</f>
        <v>8.1689300000000014</v>
      </c>
      <c r="V77" s="2">
        <f t="shared" si="78"/>
        <v>8.4139979000000018</v>
      </c>
      <c r="W77" s="2">
        <f t="shared" si="78"/>
        <v>8.6664178370000027</v>
      </c>
      <c r="X77" s="2">
        <f t="shared" si="78"/>
        <v>8.9264103721100021</v>
      </c>
      <c r="Y77" s="2">
        <f t="shared" si="78"/>
        <v>9.1942026832733017</v>
      </c>
      <c r="Z77" s="2">
        <f t="shared" si="78"/>
        <v>9.4700287637715004</v>
      </c>
      <c r="AA77" s="2">
        <f t="shared" si="78"/>
        <v>9.7541296266846462</v>
      </c>
      <c r="AB77" s="2">
        <f t="shared" si="78"/>
        <v>10.046753515485186</v>
      </c>
      <c r="AC77" s="2">
        <f t="shared" si="78"/>
        <v>10.348156120949742</v>
      </c>
      <c r="AD77" s="2">
        <f t="shared" si="78"/>
        <v>10.658600804578235</v>
      </c>
    </row>
    <row r="78" spans="2:30" x14ac:dyDescent="0.3">
      <c r="B78" t="s">
        <v>70</v>
      </c>
      <c r="G78" s="2">
        <v>4.3</v>
      </c>
      <c r="H78" s="2">
        <f t="shared" si="66"/>
        <v>7.3</v>
      </c>
      <c r="I78" s="2">
        <f t="shared" si="67"/>
        <v>9.2999999999999972</v>
      </c>
      <c r="J78" s="2">
        <f t="shared" si="68"/>
        <v>-7.1999999999999975</v>
      </c>
      <c r="K78" s="2">
        <v>-5.9</v>
      </c>
      <c r="L78" s="2">
        <f t="shared" si="69"/>
        <v>-15.999999999999998</v>
      </c>
      <c r="M78" s="2">
        <f>-33.8-L78-K78</f>
        <v>-11.899999999999997</v>
      </c>
      <c r="N78">
        <v>-10</v>
      </c>
      <c r="R78" s="2">
        <f t="shared" si="72"/>
        <v>13.700000000000001</v>
      </c>
      <c r="S78" s="2">
        <f t="shared" si="70"/>
        <v>-43.8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</row>
    <row r="79" spans="2:30" x14ac:dyDescent="0.3">
      <c r="B79" t="s">
        <v>71</v>
      </c>
      <c r="G79" s="2">
        <v>-5.9</v>
      </c>
      <c r="H79" s="2">
        <f t="shared" si="66"/>
        <v>17.600000000000001</v>
      </c>
      <c r="I79" s="2">
        <f t="shared" si="67"/>
        <v>-21.700000000000003</v>
      </c>
      <c r="J79" s="2">
        <f t="shared" si="68"/>
        <v>-13.799999999999999</v>
      </c>
      <c r="K79" s="2">
        <v>-17.8</v>
      </c>
      <c r="L79" s="2">
        <f t="shared" si="69"/>
        <v>-20.3</v>
      </c>
      <c r="M79" s="2">
        <f>-71.1-L79-K79</f>
        <v>-33</v>
      </c>
      <c r="N79">
        <v>-20</v>
      </c>
      <c r="R79" s="2">
        <f t="shared" si="72"/>
        <v>-23.8</v>
      </c>
      <c r="S79" s="2">
        <f t="shared" si="70"/>
        <v>-91.1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</row>
    <row r="80" spans="2:30" x14ac:dyDescent="0.3">
      <c r="B80" t="s">
        <v>72</v>
      </c>
      <c r="G80" s="2">
        <v>-39.700000000000003</v>
      </c>
      <c r="H80" s="2">
        <f t="shared" si="66"/>
        <v>-8.8999999999999986</v>
      </c>
      <c r="I80" s="2">
        <f t="shared" si="67"/>
        <v>0.30000000000000426</v>
      </c>
      <c r="J80" s="2">
        <f t="shared" si="68"/>
        <v>3.5999999999999943</v>
      </c>
      <c r="K80" s="2">
        <v>-10.3</v>
      </c>
      <c r="L80" s="2">
        <f t="shared" si="69"/>
        <v>-9.6999999999999993</v>
      </c>
      <c r="M80" s="2">
        <f>-14-L80-K80</f>
        <v>6</v>
      </c>
      <c r="N80">
        <v>6</v>
      </c>
      <c r="R80" s="2">
        <f t="shared" si="72"/>
        <v>-44.7</v>
      </c>
      <c r="S80" s="2">
        <f t="shared" si="70"/>
        <v>-8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</row>
    <row r="81" spans="2:142" x14ac:dyDescent="0.3">
      <c r="B81" t="s">
        <v>98</v>
      </c>
      <c r="G81" s="2">
        <v>-1.9</v>
      </c>
      <c r="H81" s="2">
        <f t="shared" si="66"/>
        <v>-0.10000000000000009</v>
      </c>
      <c r="I81" s="2">
        <f t="shared" si="67"/>
        <v>-0.39999999999999991</v>
      </c>
      <c r="J81" s="2">
        <f t="shared" si="68"/>
        <v>1</v>
      </c>
      <c r="K81" s="2">
        <v>-0.4</v>
      </c>
      <c r="L81" s="2">
        <f t="shared" si="69"/>
        <v>-0.6</v>
      </c>
      <c r="M81" s="2">
        <f>-1.6-L81-K81</f>
        <v>-0.6</v>
      </c>
      <c r="N81">
        <v>0</v>
      </c>
      <c r="R81" s="2">
        <f t="shared" si="72"/>
        <v>-1.4</v>
      </c>
      <c r="S81" s="2">
        <f t="shared" si="70"/>
        <v>-1.6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</row>
    <row r="82" spans="2:142" x14ac:dyDescent="0.3">
      <c r="B82" t="s">
        <v>79</v>
      </c>
      <c r="G82" s="2">
        <v>-40.1</v>
      </c>
      <c r="H82" s="2">
        <f t="shared" si="66"/>
        <v>-19.399999999999999</v>
      </c>
      <c r="I82" s="2">
        <f t="shared" si="67"/>
        <v>57.8</v>
      </c>
      <c r="J82" s="2">
        <f t="shared" si="68"/>
        <v>0.20000000000000284</v>
      </c>
      <c r="K82" s="2">
        <v>11.8</v>
      </c>
      <c r="L82" s="2">
        <f t="shared" si="69"/>
        <v>-5.6000000000000005</v>
      </c>
      <c r="M82" s="2">
        <f>-3.5-L82-K82</f>
        <v>-9.6999999999999993</v>
      </c>
      <c r="N82">
        <v>10</v>
      </c>
      <c r="R82" s="2">
        <f t="shared" si="72"/>
        <v>-1.5</v>
      </c>
      <c r="S82" s="2">
        <f t="shared" si="70"/>
        <v>6.5000000000000009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</row>
    <row r="83" spans="2:142" x14ac:dyDescent="0.3">
      <c r="B83" t="s">
        <v>73</v>
      </c>
      <c r="G83" s="2">
        <v>0</v>
      </c>
      <c r="H83" s="2">
        <f t="shared" si="66"/>
        <v>-1.3</v>
      </c>
      <c r="I83" s="2">
        <f t="shared" si="67"/>
        <v>-9.9999999999999867E-2</v>
      </c>
      <c r="J83" s="2">
        <f t="shared" si="68"/>
        <v>-13.2</v>
      </c>
      <c r="K83" s="2">
        <v>0</v>
      </c>
      <c r="L83" s="2">
        <f t="shared" si="69"/>
        <v>-0.3</v>
      </c>
      <c r="M83" s="2">
        <f>-0.3-L83-K83</f>
        <v>0</v>
      </c>
      <c r="N83">
        <v>0</v>
      </c>
      <c r="R83" s="2">
        <f t="shared" si="72"/>
        <v>-14.6</v>
      </c>
      <c r="S83" s="2">
        <f t="shared" si="70"/>
        <v>-0.3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</row>
    <row r="84" spans="2:142" x14ac:dyDescent="0.3">
      <c r="B84" t="s">
        <v>81</v>
      </c>
      <c r="G84" s="2">
        <v>-0.4</v>
      </c>
      <c r="H84" s="2">
        <f t="shared" si="66"/>
        <v>-0.4</v>
      </c>
      <c r="I84" s="2">
        <f t="shared" si="67"/>
        <v>-0.39999999999999991</v>
      </c>
      <c r="J84" s="2">
        <f t="shared" si="68"/>
        <v>-0.80000000000000016</v>
      </c>
      <c r="K84" s="2">
        <v>-0.8</v>
      </c>
      <c r="L84" s="2">
        <f t="shared" si="69"/>
        <v>-0.89999999999999991</v>
      </c>
      <c r="M84" s="2">
        <f>-2.8-L84-K84</f>
        <v>-1.0999999999999999</v>
      </c>
      <c r="N84">
        <v>-1</v>
      </c>
      <c r="R84" s="2">
        <f t="shared" si="72"/>
        <v>-2</v>
      </c>
      <c r="S84" s="2">
        <f t="shared" si="70"/>
        <v>-3.8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2:142" x14ac:dyDescent="0.3">
      <c r="B85" t="s">
        <v>82</v>
      </c>
      <c r="G85" s="2">
        <v>1.3</v>
      </c>
      <c r="H85" s="2">
        <f t="shared" si="66"/>
        <v>1.8</v>
      </c>
      <c r="I85" s="2">
        <f t="shared" si="67"/>
        <v>-0.80000000000000027</v>
      </c>
      <c r="J85" s="2">
        <f t="shared" si="68"/>
        <v>7.3999999999999995</v>
      </c>
      <c r="K85" s="2">
        <v>5.8</v>
      </c>
      <c r="L85" s="2">
        <f t="shared" si="69"/>
        <v>10.3</v>
      </c>
      <c r="M85" s="2">
        <f>29.1-L85-K85</f>
        <v>13</v>
      </c>
      <c r="N85">
        <v>15</v>
      </c>
      <c r="R85" s="2">
        <f t="shared" si="72"/>
        <v>9.6999999999999993</v>
      </c>
      <c r="S85" s="2">
        <f t="shared" si="70"/>
        <v>44.1</v>
      </c>
      <c r="T85" s="2">
        <f>S85*1.02</f>
        <v>44.981999999999999</v>
      </c>
      <c r="U85" s="2">
        <f t="shared" ref="U85:AD85" si="79">T85*1.02</f>
        <v>45.881639999999997</v>
      </c>
      <c r="V85" s="2">
        <f t="shared" si="79"/>
        <v>46.799272799999997</v>
      </c>
      <c r="W85" s="2">
        <f t="shared" si="79"/>
        <v>47.735258255999995</v>
      </c>
      <c r="X85" s="2">
        <f t="shared" si="79"/>
        <v>48.689963421119998</v>
      </c>
      <c r="Y85" s="2">
        <f t="shared" si="79"/>
        <v>49.663762689542402</v>
      </c>
      <c r="Z85" s="2">
        <f t="shared" si="79"/>
        <v>50.65703794333325</v>
      </c>
      <c r="AA85" s="2">
        <f t="shared" si="79"/>
        <v>51.670178702199919</v>
      </c>
      <c r="AB85" s="2">
        <f t="shared" si="79"/>
        <v>52.703582276243921</v>
      </c>
      <c r="AC85" s="2">
        <f t="shared" si="79"/>
        <v>53.757653921768799</v>
      </c>
      <c r="AD85" s="2">
        <f t="shared" si="79"/>
        <v>54.832807000204177</v>
      </c>
    </row>
    <row r="86" spans="2:142" s="1" customFormat="1" x14ac:dyDescent="0.3">
      <c r="B86" s="1" t="s">
        <v>99</v>
      </c>
      <c r="G86" s="8">
        <f t="shared" ref="G86:N86" si="80">G69+SUM(G70:G85)</f>
        <v>-175.90000000000003</v>
      </c>
      <c r="H86" s="8">
        <f t="shared" si="80"/>
        <v>-111.19999999999999</v>
      </c>
      <c r="I86" s="8">
        <f t="shared" si="80"/>
        <v>-91.599999999999966</v>
      </c>
      <c r="J86" s="8">
        <f t="shared" si="80"/>
        <v>-117.69999999999999</v>
      </c>
      <c r="K86" s="8">
        <f t="shared" si="80"/>
        <v>-115.69999999999999</v>
      </c>
      <c r="L86" s="8">
        <f t="shared" si="80"/>
        <v>-134.5</v>
      </c>
      <c r="M86" s="8">
        <f t="shared" si="80"/>
        <v>-149.4</v>
      </c>
      <c r="N86" s="8">
        <f t="shared" si="80"/>
        <v>-84.799999999999983</v>
      </c>
      <c r="R86" s="8">
        <f t="shared" ref="R86:AD86" si="81">R69+SUM(R70:R85)</f>
        <v>-496.4</v>
      </c>
      <c r="S86" s="8">
        <f t="shared" si="81"/>
        <v>-484.39999999999986</v>
      </c>
      <c r="T86" s="8">
        <f t="shared" si="81"/>
        <v>-207.79899999999981</v>
      </c>
      <c r="U86" s="8">
        <f t="shared" si="81"/>
        <v>-106.93028999999996</v>
      </c>
      <c r="V86" s="8">
        <f t="shared" si="81"/>
        <v>20.36973410000013</v>
      </c>
      <c r="W86" s="8">
        <f t="shared" si="81"/>
        <v>123.12436007700006</v>
      </c>
      <c r="X86" s="8">
        <f t="shared" si="81"/>
        <v>211.23487281137</v>
      </c>
      <c r="Y86" s="8">
        <f t="shared" si="81"/>
        <v>314.33389502694217</v>
      </c>
      <c r="Z86" s="8">
        <f t="shared" si="81"/>
        <v>402.61660839891397</v>
      </c>
      <c r="AA86" s="8">
        <f t="shared" si="81"/>
        <v>491.08748795735761</v>
      </c>
      <c r="AB86" s="8">
        <f t="shared" si="81"/>
        <v>579.25003820302686</v>
      </c>
      <c r="AC86" s="8">
        <f t="shared" si="81"/>
        <v>665.2225563771658</v>
      </c>
      <c r="AD86" s="8">
        <f t="shared" si="81"/>
        <v>721.36602538875491</v>
      </c>
    </row>
    <row r="87" spans="2:142" x14ac:dyDescent="0.3">
      <c r="B87" t="s">
        <v>100</v>
      </c>
      <c r="H87" s="2">
        <f>H86+G86</f>
        <v>-287.10000000000002</v>
      </c>
      <c r="I87" s="2">
        <f>G86+H86+I86</f>
        <v>-378.7</v>
      </c>
      <c r="J87" s="2">
        <f>H86+I86+J86</f>
        <v>-320.49999999999994</v>
      </c>
      <c r="L87" s="2">
        <f>L86+K86</f>
        <v>-250.2</v>
      </c>
      <c r="M87" s="2">
        <f>K86+L86+M86</f>
        <v>-399.6</v>
      </c>
      <c r="N87" s="2">
        <f>L86+M86+N86</f>
        <v>-368.69999999999993</v>
      </c>
      <c r="S87" s="2"/>
    </row>
    <row r="88" spans="2:142" x14ac:dyDescent="0.3">
      <c r="B88" t="s">
        <v>101</v>
      </c>
      <c r="G88" s="2">
        <v>50.5</v>
      </c>
      <c r="H88" s="2">
        <f>H110-G88</f>
        <v>37.200000000000003</v>
      </c>
      <c r="I88" s="2">
        <f>I110-H88-G88</f>
        <v>20.299999999999997</v>
      </c>
      <c r="J88" s="2">
        <f>J110-I88-H88-G88</f>
        <v>12.5</v>
      </c>
      <c r="K88" s="2">
        <v>16.5</v>
      </c>
      <c r="L88" s="2">
        <f>L110-K88</f>
        <v>13.7</v>
      </c>
      <c r="M88" s="2">
        <f>M110-L88-K88</f>
        <v>13.8</v>
      </c>
      <c r="N88" s="2">
        <v>14</v>
      </c>
      <c r="R88" s="2">
        <f>SUM(G88:J88)</f>
        <v>120.5</v>
      </c>
      <c r="S88" s="2">
        <f>SUM(K88:N88)</f>
        <v>58</v>
      </c>
      <c r="T88" s="2">
        <f>S88*1.05</f>
        <v>60.900000000000006</v>
      </c>
      <c r="U88" s="2">
        <f t="shared" ref="U88:AD88" si="82">T88*1.05</f>
        <v>63.945000000000007</v>
      </c>
      <c r="V88" s="2">
        <f t="shared" si="82"/>
        <v>67.142250000000004</v>
      </c>
      <c r="W88" s="2">
        <f t="shared" si="82"/>
        <v>70.499362500000004</v>
      </c>
      <c r="X88" s="2">
        <f t="shared" si="82"/>
        <v>74.024330625000005</v>
      </c>
      <c r="Y88" s="2">
        <f t="shared" si="82"/>
        <v>77.725547156250002</v>
      </c>
      <c r="Z88" s="2">
        <f t="shared" si="82"/>
        <v>81.611824514062505</v>
      </c>
      <c r="AA88" s="2">
        <f t="shared" si="82"/>
        <v>85.692415739765636</v>
      </c>
      <c r="AB88" s="2">
        <f t="shared" si="82"/>
        <v>89.97703652675392</v>
      </c>
      <c r="AC88" s="2">
        <f t="shared" si="82"/>
        <v>94.475888353091619</v>
      </c>
      <c r="AD88" s="2">
        <f t="shared" si="82"/>
        <v>99.199682770746207</v>
      </c>
    </row>
    <row r="89" spans="2:142" s="1" customFormat="1" x14ac:dyDescent="0.3">
      <c r="B89" s="1" t="s">
        <v>103</v>
      </c>
      <c r="G89" s="8">
        <f t="shared" ref="G89:L89" si="83">G86-G88</f>
        <v>-226.40000000000003</v>
      </c>
      <c r="H89" s="8">
        <f t="shared" si="83"/>
        <v>-148.39999999999998</v>
      </c>
      <c r="I89" s="8">
        <f t="shared" si="83"/>
        <v>-111.89999999999996</v>
      </c>
      <c r="J89" s="8">
        <f t="shared" si="83"/>
        <v>-130.19999999999999</v>
      </c>
      <c r="K89" s="8">
        <f t="shared" si="83"/>
        <v>-132.19999999999999</v>
      </c>
      <c r="L89" s="8">
        <f t="shared" si="83"/>
        <v>-148.19999999999999</v>
      </c>
      <c r="M89" s="8">
        <f>M86-M88</f>
        <v>-163.20000000000002</v>
      </c>
      <c r="N89" s="8">
        <f t="shared" ref="N89" si="84">N86-N88</f>
        <v>-98.799999999999983</v>
      </c>
      <c r="R89" s="8">
        <f>SUM(G89:J89)</f>
        <v>-616.9</v>
      </c>
      <c r="S89" s="8">
        <f>SUM(K89:N89)</f>
        <v>-542.4</v>
      </c>
      <c r="T89" s="8">
        <f>T86-T88</f>
        <v>-268.69899999999984</v>
      </c>
      <c r="U89" s="8">
        <f t="shared" ref="U89:AD89" si="85">U86-U88</f>
        <v>-170.87528999999995</v>
      </c>
      <c r="V89" s="8">
        <f t="shared" si="85"/>
        <v>-46.772515899999874</v>
      </c>
      <c r="W89" s="8">
        <f t="shared" si="85"/>
        <v>52.624997577000059</v>
      </c>
      <c r="X89" s="8">
        <f t="shared" si="85"/>
        <v>137.21054218636999</v>
      </c>
      <c r="Y89" s="8">
        <f t="shared" si="85"/>
        <v>236.60834787069217</v>
      </c>
      <c r="Z89" s="8">
        <f t="shared" si="85"/>
        <v>321.00478388485146</v>
      </c>
      <c r="AA89" s="8">
        <f t="shared" si="85"/>
        <v>405.39507221759197</v>
      </c>
      <c r="AB89" s="8">
        <f t="shared" si="85"/>
        <v>489.27300167627294</v>
      </c>
      <c r="AC89" s="8">
        <f t="shared" si="85"/>
        <v>570.74666802407421</v>
      </c>
      <c r="AD89" s="8">
        <f t="shared" si="85"/>
        <v>622.16634261800868</v>
      </c>
      <c r="AE89" s="1">
        <f>AD89*(1+$AG$30)</f>
        <v>615.94467919182864</v>
      </c>
      <c r="AF89" s="1">
        <f t="shared" ref="AF89:CQ89" si="86">AE89*(1+$AG$30)</f>
        <v>609.78523239991034</v>
      </c>
      <c r="AG89" s="1">
        <f t="shared" si="86"/>
        <v>603.68738007591128</v>
      </c>
      <c r="AH89" s="1">
        <f t="shared" si="86"/>
        <v>597.65050627515211</v>
      </c>
      <c r="AI89" s="1">
        <f t="shared" si="86"/>
        <v>591.67400121240064</v>
      </c>
      <c r="AJ89" s="1">
        <f t="shared" si="86"/>
        <v>585.75726120027662</v>
      </c>
      <c r="AK89" s="1">
        <f t="shared" si="86"/>
        <v>579.89968858827388</v>
      </c>
      <c r="AL89" s="1">
        <f t="shared" si="86"/>
        <v>574.10069170239115</v>
      </c>
      <c r="AM89" s="1">
        <f t="shared" si="86"/>
        <v>568.35968478536722</v>
      </c>
      <c r="AN89" s="1">
        <f t="shared" si="86"/>
        <v>562.67608793751356</v>
      </c>
      <c r="AO89" s="1">
        <f t="shared" si="86"/>
        <v>557.04932705813837</v>
      </c>
      <c r="AP89" s="1">
        <f t="shared" si="86"/>
        <v>551.47883378755694</v>
      </c>
      <c r="AQ89" s="1">
        <f t="shared" si="86"/>
        <v>545.96404544968141</v>
      </c>
      <c r="AR89" s="1">
        <f t="shared" si="86"/>
        <v>540.50440499518459</v>
      </c>
      <c r="AS89" s="1">
        <f t="shared" si="86"/>
        <v>535.09936094523277</v>
      </c>
      <c r="AT89" s="1">
        <f t="shared" si="86"/>
        <v>529.74836733578047</v>
      </c>
      <c r="AU89" s="1">
        <f t="shared" si="86"/>
        <v>524.45088366242271</v>
      </c>
      <c r="AV89" s="1">
        <f t="shared" si="86"/>
        <v>519.20637482579843</v>
      </c>
      <c r="AW89" s="1">
        <f t="shared" si="86"/>
        <v>514.01431107754047</v>
      </c>
      <c r="AX89" s="1">
        <f t="shared" si="86"/>
        <v>508.87416796676507</v>
      </c>
      <c r="AY89" s="1">
        <f t="shared" si="86"/>
        <v>503.78542628709744</v>
      </c>
      <c r="AZ89" s="1">
        <f t="shared" si="86"/>
        <v>498.74757202422649</v>
      </c>
      <c r="BA89" s="1">
        <f t="shared" si="86"/>
        <v>493.7600963039842</v>
      </c>
      <c r="BB89" s="1">
        <f t="shared" si="86"/>
        <v>488.82249534094433</v>
      </c>
      <c r="BC89" s="1">
        <f t="shared" si="86"/>
        <v>483.93427038753487</v>
      </c>
      <c r="BD89" s="1">
        <f t="shared" si="86"/>
        <v>479.09492768365953</v>
      </c>
      <c r="BE89" s="1">
        <f t="shared" si="86"/>
        <v>474.30397840682292</v>
      </c>
      <c r="BF89" s="1">
        <f t="shared" si="86"/>
        <v>469.56093862275469</v>
      </c>
      <c r="BG89" s="1">
        <f t="shared" si="86"/>
        <v>464.86532923652715</v>
      </c>
      <c r="BH89" s="1">
        <f t="shared" si="86"/>
        <v>460.21667594416186</v>
      </c>
      <c r="BI89" s="1">
        <f t="shared" si="86"/>
        <v>455.61450918472025</v>
      </c>
      <c r="BJ89" s="1">
        <f t="shared" si="86"/>
        <v>451.05836409287303</v>
      </c>
      <c r="BK89" s="1">
        <f t="shared" si="86"/>
        <v>446.54778045194428</v>
      </c>
      <c r="BL89" s="1">
        <f t="shared" si="86"/>
        <v>442.08230264742485</v>
      </c>
      <c r="BM89" s="1">
        <f t="shared" si="86"/>
        <v>437.66147962095062</v>
      </c>
      <c r="BN89" s="1">
        <f t="shared" si="86"/>
        <v>433.28486482474108</v>
      </c>
      <c r="BO89" s="1">
        <f t="shared" si="86"/>
        <v>428.95201617649366</v>
      </c>
      <c r="BP89" s="1">
        <f t="shared" si="86"/>
        <v>424.66249601472873</v>
      </c>
      <c r="BQ89" s="1">
        <f t="shared" si="86"/>
        <v>420.41587105458143</v>
      </c>
      <c r="BR89" s="1">
        <f t="shared" si="86"/>
        <v>416.21171234403562</v>
      </c>
      <c r="BS89" s="1">
        <f t="shared" si="86"/>
        <v>412.04959522059528</v>
      </c>
      <c r="BT89" s="1">
        <f t="shared" si="86"/>
        <v>407.92909926838934</v>
      </c>
      <c r="BU89" s="1">
        <f t="shared" si="86"/>
        <v>403.84980827570541</v>
      </c>
      <c r="BV89" s="1">
        <f t="shared" si="86"/>
        <v>399.81131019294838</v>
      </c>
      <c r="BW89" s="1">
        <f t="shared" si="86"/>
        <v>395.81319709101888</v>
      </c>
      <c r="BX89" s="1">
        <f t="shared" si="86"/>
        <v>391.85506512010869</v>
      </c>
      <c r="BY89" s="1">
        <f t="shared" si="86"/>
        <v>387.9365144689076</v>
      </c>
      <c r="BZ89" s="1">
        <f t="shared" si="86"/>
        <v>384.05714932421853</v>
      </c>
      <c r="CA89" s="1">
        <f t="shared" si="86"/>
        <v>380.21657783097635</v>
      </c>
      <c r="CB89" s="1">
        <f t="shared" si="86"/>
        <v>376.41441205266659</v>
      </c>
      <c r="CC89" s="1">
        <f t="shared" si="86"/>
        <v>372.65026793213991</v>
      </c>
      <c r="CD89" s="1">
        <f t="shared" si="86"/>
        <v>368.9237652528185</v>
      </c>
      <c r="CE89" s="1">
        <f t="shared" si="86"/>
        <v>365.23452760029033</v>
      </c>
      <c r="CF89" s="1">
        <f t="shared" si="86"/>
        <v>361.58218232428743</v>
      </c>
      <c r="CG89" s="1">
        <f t="shared" si="86"/>
        <v>357.96636050104456</v>
      </c>
      <c r="CH89" s="1">
        <f t="shared" si="86"/>
        <v>354.3866968960341</v>
      </c>
      <c r="CI89" s="1">
        <f t="shared" si="86"/>
        <v>350.84282992707375</v>
      </c>
      <c r="CJ89" s="1">
        <f t="shared" si="86"/>
        <v>347.334401627803</v>
      </c>
      <c r="CK89" s="1">
        <f t="shared" si="86"/>
        <v>343.86105761152498</v>
      </c>
      <c r="CL89" s="1">
        <f t="shared" si="86"/>
        <v>340.42244703540973</v>
      </c>
      <c r="CM89" s="1">
        <f t="shared" si="86"/>
        <v>337.01822256505562</v>
      </c>
      <c r="CN89" s="1">
        <f t="shared" si="86"/>
        <v>333.64804033940504</v>
      </c>
      <c r="CO89" s="1">
        <f t="shared" si="86"/>
        <v>330.31155993601101</v>
      </c>
      <c r="CP89" s="1">
        <f t="shared" si="86"/>
        <v>327.00844433665088</v>
      </c>
      <c r="CQ89" s="1">
        <f t="shared" si="86"/>
        <v>323.73835989328438</v>
      </c>
      <c r="CR89" s="1">
        <f t="shared" ref="CR89:EL89" si="87">CQ89*(1+$AG$30)</f>
        <v>320.50097629435152</v>
      </c>
      <c r="CS89" s="1">
        <f t="shared" si="87"/>
        <v>317.295966531408</v>
      </c>
      <c r="CT89" s="1">
        <f t="shared" si="87"/>
        <v>314.12300686609393</v>
      </c>
      <c r="CU89" s="1">
        <f t="shared" si="87"/>
        <v>310.98177679743299</v>
      </c>
      <c r="CV89" s="1">
        <f t="shared" si="87"/>
        <v>307.87195902945865</v>
      </c>
      <c r="CW89" s="1">
        <f t="shared" si="87"/>
        <v>304.79323943916404</v>
      </c>
      <c r="CX89" s="1">
        <f t="shared" si="87"/>
        <v>301.7453070447724</v>
      </c>
      <c r="CY89" s="1">
        <f t="shared" si="87"/>
        <v>298.72785397432466</v>
      </c>
      <c r="CZ89" s="1">
        <f t="shared" si="87"/>
        <v>295.74057543458139</v>
      </c>
      <c r="DA89" s="1">
        <f t="shared" si="87"/>
        <v>292.78316968023557</v>
      </c>
      <c r="DB89" s="1">
        <f t="shared" si="87"/>
        <v>289.85533798343323</v>
      </c>
      <c r="DC89" s="1">
        <f t="shared" si="87"/>
        <v>286.95678460359892</v>
      </c>
      <c r="DD89" s="1">
        <f t="shared" si="87"/>
        <v>284.08721675756294</v>
      </c>
      <c r="DE89" s="1">
        <f t="shared" si="87"/>
        <v>281.2463445899873</v>
      </c>
      <c r="DF89" s="1">
        <f t="shared" si="87"/>
        <v>278.43388114408742</v>
      </c>
      <c r="DG89" s="1">
        <f t="shared" si="87"/>
        <v>275.64954233264655</v>
      </c>
      <c r="DH89" s="1">
        <f t="shared" si="87"/>
        <v>272.89304690932011</v>
      </c>
      <c r="DI89" s="1">
        <f t="shared" si="87"/>
        <v>270.16411644022691</v>
      </c>
      <c r="DJ89" s="1">
        <f t="shared" si="87"/>
        <v>267.46247527582466</v>
      </c>
      <c r="DK89" s="1">
        <f t="shared" si="87"/>
        <v>264.78785052306642</v>
      </c>
      <c r="DL89" s="1">
        <f t="shared" si="87"/>
        <v>262.13997201783576</v>
      </c>
      <c r="DM89" s="1">
        <f t="shared" si="87"/>
        <v>259.51857229765739</v>
      </c>
      <c r="DN89" s="1">
        <f t="shared" si="87"/>
        <v>256.92338657468082</v>
      </c>
      <c r="DO89" s="1">
        <f t="shared" si="87"/>
        <v>254.35415270893401</v>
      </c>
      <c r="DP89" s="1">
        <f t="shared" si="87"/>
        <v>251.81061118184468</v>
      </c>
      <c r="DQ89" s="1">
        <f t="shared" si="87"/>
        <v>249.29250507002624</v>
      </c>
      <c r="DR89" s="1">
        <f t="shared" si="87"/>
        <v>246.79958001932599</v>
      </c>
      <c r="DS89" s="1">
        <f t="shared" si="87"/>
        <v>244.33158421913274</v>
      </c>
      <c r="DT89" s="1">
        <f t="shared" si="87"/>
        <v>241.8882683769414</v>
      </c>
      <c r="DU89" s="1">
        <f t="shared" si="87"/>
        <v>239.46938569317197</v>
      </c>
      <c r="DV89" s="1">
        <f t="shared" si="87"/>
        <v>237.07469183624025</v>
      </c>
      <c r="DW89" s="1">
        <f t="shared" si="87"/>
        <v>234.70394491787783</v>
      </c>
      <c r="DX89" s="1">
        <f t="shared" si="87"/>
        <v>232.35690546869904</v>
      </c>
      <c r="DY89" s="1">
        <f t="shared" si="87"/>
        <v>230.03333641401204</v>
      </c>
      <c r="DZ89" s="1">
        <f t="shared" si="87"/>
        <v>227.73300304987191</v>
      </c>
      <c r="EA89" s="1">
        <f t="shared" si="87"/>
        <v>225.45567301937319</v>
      </c>
      <c r="EB89" s="1">
        <f t="shared" si="87"/>
        <v>223.20111628917945</v>
      </c>
      <c r="EC89" s="1">
        <f t="shared" si="87"/>
        <v>220.96910512628764</v>
      </c>
      <c r="ED89" s="1">
        <f t="shared" si="87"/>
        <v>218.75941407502478</v>
      </c>
      <c r="EE89" s="1">
        <f t="shared" si="87"/>
        <v>216.57181993427452</v>
      </c>
      <c r="EF89" s="1">
        <f t="shared" si="87"/>
        <v>214.40610173493178</v>
      </c>
      <c r="EG89" s="1">
        <f t="shared" si="87"/>
        <v>212.26204071758247</v>
      </c>
      <c r="EH89" s="1">
        <f t="shared" si="87"/>
        <v>210.13942031040665</v>
      </c>
      <c r="EI89" s="1">
        <f t="shared" si="87"/>
        <v>208.03802610730258</v>
      </c>
      <c r="EJ89" s="1">
        <f t="shared" si="87"/>
        <v>205.95764584622955</v>
      </c>
      <c r="EK89" s="1">
        <f t="shared" si="87"/>
        <v>203.89806938776726</v>
      </c>
      <c r="EL89" s="1">
        <f t="shared" si="87"/>
        <v>201.85908869388959</v>
      </c>
    </row>
    <row r="90" spans="2:142" x14ac:dyDescent="0.3">
      <c r="H90" s="2"/>
      <c r="I90" s="2"/>
      <c r="J90" s="2"/>
      <c r="L90" s="2"/>
      <c r="M90" s="2"/>
      <c r="N90" s="2"/>
      <c r="S90" s="2"/>
    </row>
    <row r="91" spans="2:142" x14ac:dyDescent="0.3">
      <c r="B91" t="s">
        <v>102</v>
      </c>
      <c r="G91" s="9"/>
      <c r="H91" s="9"/>
      <c r="I91" s="9"/>
      <c r="J91" s="9"/>
      <c r="K91" s="9">
        <f>K88/G88-1</f>
        <v>-0.6732673267326732</v>
      </c>
      <c r="L91" s="9">
        <f>L88/H88-1</f>
        <v>-0.63172043010752699</v>
      </c>
      <c r="M91" s="9">
        <f>M88/I88-1</f>
        <v>-0.3201970443349752</v>
      </c>
      <c r="N91" s="9">
        <f>N88/J88-1</f>
        <v>0.12000000000000011</v>
      </c>
      <c r="S91" s="9">
        <f>S88/R88-1</f>
        <v>-0.51867219917012441</v>
      </c>
      <c r="T91" s="9">
        <f t="shared" ref="T91:AD91" si="88">T88/S88-1</f>
        <v>5.0000000000000044E-2</v>
      </c>
      <c r="U91" s="9">
        <f t="shared" si="88"/>
        <v>5.0000000000000044E-2</v>
      </c>
      <c r="V91" s="9">
        <f t="shared" si="88"/>
        <v>5.0000000000000044E-2</v>
      </c>
      <c r="W91" s="9">
        <f t="shared" si="88"/>
        <v>5.0000000000000044E-2</v>
      </c>
      <c r="X91" s="9">
        <f t="shared" si="88"/>
        <v>5.0000000000000044E-2</v>
      </c>
      <c r="Y91" s="9">
        <f t="shared" si="88"/>
        <v>5.0000000000000044E-2</v>
      </c>
      <c r="Z91" s="9">
        <f t="shared" si="88"/>
        <v>5.0000000000000044E-2</v>
      </c>
      <c r="AA91" s="9">
        <f t="shared" si="88"/>
        <v>5.0000000000000044E-2</v>
      </c>
      <c r="AB91" s="9">
        <f t="shared" si="88"/>
        <v>5.0000000000000044E-2</v>
      </c>
      <c r="AC91" s="9">
        <f t="shared" si="88"/>
        <v>5.0000000000000044E-2</v>
      </c>
      <c r="AD91" s="9">
        <f t="shared" si="88"/>
        <v>5.0000000000000044E-2</v>
      </c>
      <c r="AG91" t="s">
        <v>105</v>
      </c>
      <c r="AH91" s="13">
        <f>NPV(AG31,S89:EL89)</f>
        <v>1329.8402568010606</v>
      </c>
    </row>
    <row r="92" spans="2:142" x14ac:dyDescent="0.3">
      <c r="B92" t="s">
        <v>104</v>
      </c>
      <c r="G92" s="9"/>
      <c r="H92" s="9"/>
      <c r="I92" s="9"/>
      <c r="J92" s="9"/>
      <c r="K92" s="9">
        <f t="shared" ref="K92:M92" si="89">G89/K89-1</f>
        <v>0.71255673222390348</v>
      </c>
      <c r="L92" s="9">
        <f t="shared" si="89"/>
        <v>1.3495276653170407E-3</v>
      </c>
      <c r="M92" s="9">
        <f t="shared" si="89"/>
        <v>-0.31433823529411797</v>
      </c>
      <c r="N92" s="9">
        <f>J89/N89-1</f>
        <v>0.3178137651821864</v>
      </c>
      <c r="S92" s="9">
        <f>R89/S89-1</f>
        <v>0.13735250737463134</v>
      </c>
      <c r="T92" s="9">
        <f t="shared" ref="T92:AD92" si="90">S89/T89-1</f>
        <v>1.0186156256629175</v>
      </c>
      <c r="U92" s="9">
        <f t="shared" si="90"/>
        <v>0.57248599256217747</v>
      </c>
      <c r="V92" s="9">
        <f t="shared" si="90"/>
        <v>2.6533268889219705</v>
      </c>
      <c r="W92" s="9">
        <f t="shared" si="90"/>
        <v>-1.8887889416348775</v>
      </c>
      <c r="X92" s="9">
        <f t="shared" si="90"/>
        <v>-0.61646534778996276</v>
      </c>
      <c r="Y92" s="9">
        <f t="shared" si="90"/>
        <v>-0.42009424679573715</v>
      </c>
      <c r="Z92" s="9">
        <f t="shared" si="90"/>
        <v>-0.26291332793480537</v>
      </c>
      <c r="AA92" s="9">
        <f t="shared" si="90"/>
        <v>-0.20816801711749677</v>
      </c>
      <c r="AB92" s="9">
        <f t="shared" si="90"/>
        <v>-0.1714337990678233</v>
      </c>
      <c r="AC92" s="9">
        <f t="shared" si="90"/>
        <v>-0.14274926322367021</v>
      </c>
      <c r="AD92" s="9">
        <f t="shared" si="90"/>
        <v>-8.2646184905416198E-2</v>
      </c>
    </row>
    <row r="94" spans="2:142" x14ac:dyDescent="0.3">
      <c r="B94" t="s">
        <v>90</v>
      </c>
      <c r="H94" s="2">
        <v>11.8</v>
      </c>
      <c r="I94" s="2">
        <v>28.8</v>
      </c>
      <c r="J94" s="2">
        <v>35.9</v>
      </c>
      <c r="L94" s="2">
        <f>21.7</f>
        <v>21.7</v>
      </c>
    </row>
    <row r="95" spans="2:142" x14ac:dyDescent="0.3">
      <c r="B95" t="s">
        <v>91</v>
      </c>
      <c r="H95" s="2">
        <v>50.3</v>
      </c>
      <c r="I95" s="2">
        <v>68.900000000000006</v>
      </c>
      <c r="J95" s="2">
        <v>75.400000000000006</v>
      </c>
      <c r="L95" s="2">
        <v>16.7</v>
      </c>
    </row>
    <row r="96" spans="2:142" x14ac:dyDescent="0.3">
      <c r="B96" t="s">
        <v>92</v>
      </c>
      <c r="H96" s="2">
        <v>16</v>
      </c>
      <c r="I96" s="2">
        <v>16.3</v>
      </c>
      <c r="J96" s="2">
        <v>16.399999999999999</v>
      </c>
      <c r="L96" s="2">
        <f>1</f>
        <v>1</v>
      </c>
    </row>
    <row r="97" spans="2:13" x14ac:dyDescent="0.3">
      <c r="B97" t="s">
        <v>93</v>
      </c>
      <c r="H97" s="2">
        <f>7.9-2.5</f>
        <v>5.4</v>
      </c>
      <c r="I97" s="2">
        <f>195.1-44</f>
        <v>151.1</v>
      </c>
      <c r="J97" s="2">
        <f>205.6-44</f>
        <v>161.6</v>
      </c>
      <c r="L97" s="2">
        <v>-2.1</v>
      </c>
    </row>
    <row r="98" spans="2:13" x14ac:dyDescent="0.3">
      <c r="B98" t="s">
        <v>94</v>
      </c>
      <c r="H98" s="2">
        <v>12.7</v>
      </c>
      <c r="I98" s="2">
        <v>64.5</v>
      </c>
      <c r="J98" s="2">
        <v>71.2</v>
      </c>
      <c r="L98" s="2">
        <v>37.6</v>
      </c>
    </row>
    <row r="99" spans="2:13" x14ac:dyDescent="0.3">
      <c r="B99" t="s">
        <v>95</v>
      </c>
      <c r="H99" s="2">
        <v>19.399999999999999</v>
      </c>
      <c r="I99" s="2">
        <v>72.8</v>
      </c>
      <c r="J99" s="2">
        <v>79.2</v>
      </c>
      <c r="L99" s="2">
        <v>7.8</v>
      </c>
    </row>
    <row r="100" spans="2:13" x14ac:dyDescent="0.3">
      <c r="B100" t="s">
        <v>96</v>
      </c>
      <c r="H100" s="2">
        <f>17.7-70.8+20.4</f>
        <v>-32.699999999999996</v>
      </c>
      <c r="I100" s="2">
        <f>18.4-70.8+20.4</f>
        <v>-32</v>
      </c>
      <c r="J100" s="2">
        <f>28.8-70.8+31</f>
        <v>-11</v>
      </c>
      <c r="L100" s="2">
        <f>2.3+3.2</f>
        <v>5.5</v>
      </c>
    </row>
    <row r="101" spans="2:13" x14ac:dyDescent="0.3">
      <c r="B101" t="s">
        <v>97</v>
      </c>
      <c r="H101" s="2">
        <v>1</v>
      </c>
      <c r="I101" s="2">
        <v>3.9</v>
      </c>
      <c r="J101" s="2">
        <v>4.3</v>
      </c>
      <c r="L101" s="2">
        <v>3.7</v>
      </c>
    </row>
    <row r="102" spans="2:13" x14ac:dyDescent="0.3">
      <c r="B102" t="s">
        <v>70</v>
      </c>
      <c r="H102" s="2">
        <v>11.6</v>
      </c>
      <c r="I102" s="2">
        <v>20.9</v>
      </c>
      <c r="J102" s="2">
        <v>13.7</v>
      </c>
      <c r="L102" s="2">
        <v>-21.9</v>
      </c>
    </row>
    <row r="103" spans="2:13" x14ac:dyDescent="0.3">
      <c r="B103" t="s">
        <v>71</v>
      </c>
      <c r="H103" s="2">
        <v>11.7</v>
      </c>
      <c r="I103" s="2">
        <v>-10</v>
      </c>
      <c r="J103" s="2">
        <v>-23.8</v>
      </c>
      <c r="L103" s="2">
        <v>-38.1</v>
      </c>
    </row>
    <row r="104" spans="2:13" x14ac:dyDescent="0.3">
      <c r="B104" t="s">
        <v>72</v>
      </c>
      <c r="H104" s="2">
        <v>-48.6</v>
      </c>
      <c r="I104" s="2">
        <v>-48.3</v>
      </c>
      <c r="J104" s="2">
        <v>-44.7</v>
      </c>
      <c r="L104" s="2">
        <v>-20</v>
      </c>
    </row>
    <row r="105" spans="2:13" x14ac:dyDescent="0.3">
      <c r="B105" t="s">
        <v>98</v>
      </c>
      <c r="H105" s="2">
        <v>-2</v>
      </c>
      <c r="I105" s="2">
        <v>-2.4</v>
      </c>
      <c r="J105" s="2">
        <v>-1.4</v>
      </c>
      <c r="L105" s="2">
        <v>-1</v>
      </c>
    </row>
    <row r="106" spans="2:13" x14ac:dyDescent="0.3">
      <c r="B106" t="s">
        <v>79</v>
      </c>
      <c r="H106" s="2">
        <v>-59.5</v>
      </c>
      <c r="I106" s="2">
        <v>-1.7</v>
      </c>
      <c r="J106" s="2">
        <v>-1.5</v>
      </c>
      <c r="L106" s="2">
        <v>6.2</v>
      </c>
    </row>
    <row r="107" spans="2:13" x14ac:dyDescent="0.3">
      <c r="B107" t="s">
        <v>73</v>
      </c>
      <c r="H107" s="2">
        <v>-1.3</v>
      </c>
      <c r="I107" s="2">
        <v>-1.4</v>
      </c>
      <c r="J107" s="2">
        <v>-14.6</v>
      </c>
      <c r="L107" s="2">
        <v>-0.3</v>
      </c>
    </row>
    <row r="108" spans="2:13" x14ac:dyDescent="0.3">
      <c r="B108" t="s">
        <v>81</v>
      </c>
      <c r="H108" s="2">
        <v>-0.8</v>
      </c>
      <c r="I108" s="2">
        <v>-1.2</v>
      </c>
      <c r="J108" s="2">
        <v>-2</v>
      </c>
      <c r="L108" s="2">
        <v>-1.7</v>
      </c>
    </row>
    <row r="109" spans="2:13" x14ac:dyDescent="0.3">
      <c r="B109" t="s">
        <v>82</v>
      </c>
      <c r="H109" s="2">
        <v>3.1</v>
      </c>
      <c r="I109" s="2">
        <v>2.2999999999999998</v>
      </c>
      <c r="J109" s="2">
        <v>9.6999999999999993</v>
      </c>
      <c r="L109" s="2">
        <v>16.100000000000001</v>
      </c>
    </row>
    <row r="110" spans="2:13" x14ac:dyDescent="0.3">
      <c r="B110" t="s">
        <v>101</v>
      </c>
      <c r="H110" s="2">
        <v>87.7</v>
      </c>
      <c r="I110" s="2">
        <v>108</v>
      </c>
      <c r="J110" s="2">
        <v>120.5</v>
      </c>
      <c r="L110" s="2">
        <v>30.2</v>
      </c>
      <c r="M110">
        <v>44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2024-10-02T17:26:15Z</dcterms:created>
  <dcterms:modified xsi:type="dcterms:W3CDTF">2024-11-08T11:45:55Z</dcterms:modified>
</cp:coreProperties>
</file>