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609414E6-CA25-44BF-950D-DA8EF465C0C0}" xr6:coauthVersionLast="47" xr6:coauthVersionMax="47" xr10:uidLastSave="{00000000-0000-0000-0000-000000000000}"/>
  <bookViews>
    <workbookView xWindow="-108" yWindow="-108" windowWidth="23256" windowHeight="12576" xr2:uid="{DB7E2C7A-A509-42A2-AA08-E3EE5FAF4B2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2" l="1"/>
  <c r="K30" i="2"/>
  <c r="K29" i="2"/>
  <c r="K27" i="2"/>
  <c r="K26" i="2"/>
  <c r="K25" i="2"/>
  <c r="O28" i="2"/>
  <c r="O24" i="2"/>
  <c r="O23" i="2"/>
  <c r="O22" i="2"/>
  <c r="O31" i="2"/>
  <c r="O30" i="2"/>
  <c r="O29" i="2"/>
  <c r="O27" i="2"/>
  <c r="O26" i="2"/>
  <c r="O25" i="2"/>
  <c r="X31" i="2"/>
  <c r="W31" i="2"/>
  <c r="V31" i="2"/>
  <c r="U31" i="2"/>
  <c r="T31" i="2"/>
  <c r="X30" i="2"/>
  <c r="W30" i="2"/>
  <c r="V30" i="2"/>
  <c r="U30" i="2"/>
  <c r="T30" i="2"/>
  <c r="X29" i="2"/>
  <c r="W29" i="2"/>
  <c r="V29" i="2"/>
  <c r="U29" i="2"/>
  <c r="T29" i="2"/>
  <c r="X28" i="2"/>
  <c r="W28" i="2"/>
  <c r="V28" i="2"/>
  <c r="U28" i="2"/>
  <c r="X27" i="2"/>
  <c r="W27" i="2"/>
  <c r="V27" i="2"/>
  <c r="U27" i="2"/>
  <c r="T27" i="2"/>
  <c r="X26" i="2"/>
  <c r="W26" i="2"/>
  <c r="V26" i="2"/>
  <c r="U26" i="2"/>
  <c r="T26" i="2"/>
  <c r="X25" i="2"/>
  <c r="W25" i="2"/>
  <c r="V25" i="2"/>
  <c r="U25" i="2"/>
  <c r="T25" i="2"/>
  <c r="X24" i="2"/>
  <c r="W24" i="2"/>
  <c r="V24" i="2"/>
  <c r="U24" i="2"/>
  <c r="X23" i="2"/>
  <c r="W23" i="2"/>
  <c r="V23" i="2"/>
  <c r="U23" i="2"/>
  <c r="X22" i="2"/>
  <c r="W22" i="2"/>
  <c r="V22" i="2"/>
  <c r="U22" i="2"/>
  <c r="Y31" i="2"/>
  <c r="Y30" i="2"/>
  <c r="Y29" i="2"/>
  <c r="Y28" i="2"/>
  <c r="Y27" i="2"/>
  <c r="Y26" i="2"/>
  <c r="Y25" i="2"/>
  <c r="Y24" i="2"/>
  <c r="Y23" i="2"/>
  <c r="Y22" i="2"/>
  <c r="T13" i="2" l="1"/>
  <c r="T15" i="2" s="1"/>
  <c r="T8" i="2"/>
  <c r="T5" i="2"/>
  <c r="U13" i="2"/>
  <c r="U15" i="2" s="1"/>
  <c r="U8" i="2"/>
  <c r="U5" i="2"/>
  <c r="O5" i="2"/>
  <c r="O8" i="2"/>
  <c r="O9" i="2"/>
  <c r="O11" i="2" s="1"/>
  <c r="O16" i="2" s="1"/>
  <c r="O18" i="2" s="1"/>
  <c r="O20" i="2" s="1"/>
  <c r="O15" i="2"/>
  <c r="V14" i="2"/>
  <c r="V13" i="2"/>
  <c r="V8" i="2"/>
  <c r="V5" i="2"/>
  <c r="W13" i="2"/>
  <c r="W15" i="2"/>
  <c r="W8" i="2"/>
  <c r="W5" i="2"/>
  <c r="X13" i="2"/>
  <c r="X15" i="2" s="1"/>
  <c r="X8" i="2"/>
  <c r="X5" i="2"/>
  <c r="Y13" i="2"/>
  <c r="Y15" i="2" s="1"/>
  <c r="Y8" i="2"/>
  <c r="Y5" i="2"/>
  <c r="K15" i="2"/>
  <c r="K8" i="2"/>
  <c r="K5" i="2"/>
  <c r="T9" i="2" l="1"/>
  <c r="T11" i="2" s="1"/>
  <c r="T16" i="2" s="1"/>
  <c r="T18" i="2" s="1"/>
  <c r="T20" i="2" s="1"/>
  <c r="U9" i="2"/>
  <c r="U11" i="2" s="1"/>
  <c r="U16" i="2" s="1"/>
  <c r="U18" i="2" s="1"/>
  <c r="U20" i="2" s="1"/>
  <c r="V15" i="2"/>
  <c r="V9" i="2"/>
  <c r="V11" i="2" s="1"/>
  <c r="W9" i="2"/>
  <c r="W11" i="2" s="1"/>
  <c r="W16" i="2" s="1"/>
  <c r="W18" i="2" s="1"/>
  <c r="W20" i="2" s="1"/>
  <c r="X9" i="2"/>
  <c r="X11" i="2" s="1"/>
  <c r="X16" i="2" s="1"/>
  <c r="X18" i="2" s="1"/>
  <c r="X20" i="2" s="1"/>
  <c r="Y9" i="2"/>
  <c r="Y11" i="2" s="1"/>
  <c r="Y16" i="2" s="1"/>
  <c r="Y18" i="2" s="1"/>
  <c r="Y20" i="2" s="1"/>
  <c r="K9" i="2"/>
  <c r="K11" i="2" s="1"/>
  <c r="K16" i="2" s="1"/>
  <c r="K18" i="2" s="1"/>
  <c r="K20" i="2" s="1"/>
  <c r="D9" i="1"/>
  <c r="D8" i="1"/>
  <c r="D7" i="1"/>
  <c r="D6" i="1"/>
  <c r="D5" i="1"/>
  <c r="F3" i="1"/>
  <c r="V16" i="2" l="1"/>
  <c r="V18" i="2" s="1"/>
  <c r="V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 Mniszek</author>
  </authors>
  <commentList>
    <comment ref="V14" authorId="0" shapeId="0" xr:uid="{29339D8B-7A8D-4080-8A2A-42C9CB066597}">
      <text>
        <r>
          <rPr>
            <b/>
            <sz val="9"/>
            <color indexed="81"/>
            <rFont val="Tahoma"/>
            <family val="2"/>
          </rPr>
          <t>Anton Mniszek:</t>
        </r>
        <r>
          <rPr>
            <sz val="9"/>
            <color indexed="81"/>
            <rFont val="Tahoma"/>
            <family val="2"/>
          </rPr>
          <t xml:space="preserve">
gain on sale of business</t>
        </r>
      </text>
    </comment>
  </commentList>
</comments>
</file>

<file path=xl/sharedStrings.xml><?xml version="1.0" encoding="utf-8"?>
<sst xmlns="http://schemas.openxmlformats.org/spreadsheetml/2006/main" count="58" uniqueCount="53">
  <si>
    <t>NOC</t>
  </si>
  <si>
    <t>Price</t>
  </si>
  <si>
    <t>Shares</t>
  </si>
  <si>
    <t>MC</t>
  </si>
  <si>
    <t>Cash</t>
  </si>
  <si>
    <t>Debt</t>
  </si>
  <si>
    <t>Net Cash</t>
  </si>
  <si>
    <t>EV</t>
  </si>
  <si>
    <t>Last checked</t>
  </si>
  <si>
    <t>Today</t>
  </si>
  <si>
    <t>Earnings</t>
  </si>
  <si>
    <t>Q125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</si>
  <si>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</si>
  <si>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</si>
  <si>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</si>
  <si>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</si>
  <si>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</si>
  <si>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</si>
  <si>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</si>
  <si>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</si>
  <si>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</si>
  <si>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</si>
  <si>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</si>
  <si>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</si>
  <si>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Q225</t>
  </si>
  <si>
    <t>Q325</t>
  </si>
  <si>
    <t>Q425</t>
  </si>
  <si>
    <t>Product revenue</t>
  </si>
  <si>
    <t>Service revenue</t>
  </si>
  <si>
    <t>Total revenue</t>
  </si>
  <si>
    <t>Product cost</t>
  </si>
  <si>
    <t>Service cost</t>
  </si>
  <si>
    <t>Gross profit</t>
  </si>
  <si>
    <t>SG&amp;A</t>
  </si>
  <si>
    <t>Operating profit</t>
  </si>
  <si>
    <t>Other income</t>
  </si>
  <si>
    <t>Interest expense</t>
  </si>
  <si>
    <t>Pension income</t>
  </si>
  <si>
    <t>Total other expense</t>
  </si>
  <si>
    <t>Pretax profit</t>
  </si>
  <si>
    <t>Taxes</t>
  </si>
  <si>
    <t>Net profit</t>
  </si>
  <si>
    <t>EPS</t>
  </si>
  <si>
    <t>Product revenue y/y</t>
  </si>
  <si>
    <t>Service revenue y/y</t>
  </si>
  <si>
    <t>Revenue y/y</t>
  </si>
  <si>
    <t>Product Margin</t>
  </si>
  <si>
    <t>Service Margin</t>
  </si>
  <si>
    <t>Gross Margin</t>
  </si>
  <si>
    <t>Operating Margin</t>
  </si>
  <si>
    <t>Net Margin</t>
  </si>
  <si>
    <t>SG&amp;A y/y</t>
  </si>
  <si>
    <t>Total cost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</si>
</sst>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/>
    <xf numFmtId="0" fontId="1" fillId="2" borderId="1" xfId="0" applyFont="1" applyFill="1" applyBorder="1"/>
    <xf numFmtId="164" fontId="2" fillId="2" borderId="1" xfId="0" applyNumberFormat="1" applyFont="1" applyFill="1" applyBorder="1"/>
    <xf numFmtId="3" fontId="2" fillId="2" borderId="1" xfId="0" applyNumberFormat="1" applyFont="1" applyFill="1" applyBorder="1"/>
    <xf numFmtId="0" fontId="3" fillId="2" borderId="1" xfId="0" applyFont="1" applyFill="1" applyBorder="1" applyAlignment="1">
      <alignment horizontal="right"/>
    </xf>
    <xf numFmtId="14" fontId="3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4" fontId="2" fillId="2" borderId="1" xfId="0" applyNumberFormat="1" applyFont="1" applyFill="1" applyBorder="1"/>
    <xf numFmtId="3" fontId="1" fillId="2" borderId="1" xfId="0" applyNumberFormat="1" applyFont="1" applyFill="1" applyBorder="1"/>
    <xf numFmtId="9" fontId="2" fillId="2" borderId="1" xfId="0" applyNumberFormat="1" applyFont="1" applyFill="1" applyBorder="1"/>
    <xf numFmtId="9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30480</xdr:colOff>
      <xdr:row>0</xdr:row>
      <xdr:rowOff>15240</xdr:rowOff>
    </xdr:from>
    <xdr:to>
      <xdr:col>25</xdr:col>
      <xdr:colOff>30480</xdr:colOff>
      <xdr:row>39</xdr:row>
      <xdr:rowOff>106680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CE7C90E-99B5-360C-6595-20BB4B058FF9}"/>
            </a:ext>
          </a:extLst>
        </xdr:cNvPr>
        <xdr:cNvCxnSpPr/>
      </xdr:nvCxnSpPr>
      <xdr:spPr>
        <a:xfrm>
          <a:off x="15857220" y="15240"/>
          <a:ext cx="0" cy="72237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</xdr:colOff>
      <xdr:row>0</xdr:row>
      <xdr:rowOff>0</xdr:rowOff>
    </xdr:from>
    <xdr:to>
      <xdr:col>15</xdr:col>
      <xdr:colOff>38100</xdr:colOff>
      <xdr:row>36</xdr:row>
      <xdr:rowOff>106680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950F7FF-74D5-8076-DF25-DEF0D7C7C90C}"/>
            </a:ext>
          </a:extLst>
        </xdr:cNvPr>
        <xdr:cNvCxnSpPr/>
      </xdr:nvCxnSpPr>
      <xdr:spPr>
        <a:xfrm>
          <a:off x="9768840" y="0"/>
          <a:ext cx="0" cy="66903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A065-72E7-4F09-88C5-9D8037619B66}">
  <dimension ref="B2:G9"/>
  <sheetViews>
    <sheetView tabSelected="1" workbookViewId="0">
      <selection activeCell="D4" sqref="D4"/>
    </sheetView>
  </sheetViews>
  <sheetFormatPr defaultRowHeight="14.4" x14ac:dyDescent="0.3"/>
  <cols>
    <col min="1" max="4" width="8.88671875" style="1"/>
    <col min="5" max="7" width="13" style="5" customWidth="1"/>
    <col min="8" max="16384" width="8.88671875" style="1"/>
  </cols>
  <sheetData>
    <row r="2" spans="2:7" x14ac:dyDescent="0.3">
      <c r="E2" s="5" t="s">
        <v>8</v>
      </c>
      <c r="F2" s="5" t="s">
        <v>9</v>
      </c>
      <c r="G2" s="5" t="s">
        <v>10</v>
      </c>
    </row>
    <row r="3" spans="2:7" x14ac:dyDescent="0.3">
      <c r="B3" s="2" t="s">
        <v>0</v>
      </c>
      <c r="C3" s="1" t="s">
        <v>1</v>
      </c>
      <c r="D3" s="3">
        <v>472.65</v>
      </c>
      <c r="E3" s="6">
        <v>45771</v>
      </c>
      <c r="F3" s="6">
        <f ca="1">TODAY()</f>
        <v>45771</v>
      </c>
      <c r="G3" s="6">
        <v>45862</v>
      </c>
    </row>
    <row r="4" spans="2:7" x14ac:dyDescent="0.3">
      <c r="C4" s="1" t="s">
        <v>2</v>
      </c>
      <c r="D4" s="4">
        <v>143.9</v>
      </c>
      <c r="E4" s="5" t="s">
        <v>11</v>
      </c>
    </row>
    <row r="5" spans="2:7" x14ac:dyDescent="0.3">
      <c r="C5" s="1" t="s">
        <v>3</v>
      </c>
      <c r="D5" s="4">
        <f>D3*D4</f>
        <v>68014.335000000006</v>
      </c>
    </row>
    <row r="6" spans="2:7" x14ac:dyDescent="0.3">
      <c r="C6" s="1" t="s">
        <v>4</v>
      </c>
      <c r="D6" s="4">
        <f>1685</f>
        <v>1685</v>
      </c>
      <c r="E6" s="5" t="s">
        <v>11</v>
      </c>
    </row>
    <row r="7" spans="2:7" x14ac:dyDescent="0.3">
      <c r="C7" s="1" t="s">
        <v>5</v>
      </c>
      <c r="D7" s="4">
        <f>14167</f>
        <v>14167</v>
      </c>
      <c r="E7" s="5" t="s">
        <v>11</v>
      </c>
    </row>
    <row r="8" spans="2:7" x14ac:dyDescent="0.3">
      <c r="C8" s="1" t="s">
        <v>6</v>
      </c>
      <c r="D8" s="4">
        <f>D6-D7</f>
        <v>-12482</v>
      </c>
    </row>
    <row r="9" spans="2:7" x14ac:dyDescent="0.3">
      <c r="C9" s="1" t="s">
        <v>7</v>
      </c>
      <c r="D9" s="4">
        <f>D5-D8</f>
        <v>80496.335000000006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6814-BAC2-4E1E-A717-E93DA1E9DE37}">
  <dimension ref="B2:AJ31"/>
  <sheetViews>
    <sheetView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V5" sqref="V5"/>
    </sheetView>
  </sheetViews>
  <sheetFormatPr defaultRowHeight="14.4" x14ac:dyDescent="0.3"/>
  <cols>
    <col min="1" max="1" width="8.88671875" style="1"/>
    <col min="2" max="2" width="17.44140625" style="1" bestFit="1" customWidth="1"/>
    <col min="3" max="16384" width="8.88671875" style="1"/>
  </cols>
  <sheetData>
    <row r="2" spans="2:36" x14ac:dyDescent="0.3"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7" t="s">
        <v>19</v>
      </c>
      <c r="K2" s="7" t="s">
        <v>20</v>
      </c>
      <c r="L2" s="7" t="s">
        <v>21</v>
      </c>
      <c r="M2" s="7" t="s">
        <v>22</v>
      </c>
      <c r="N2" s="7" t="s">
        <v>23</v>
      </c>
      <c r="O2" s="7" t="s">
        <v>11</v>
      </c>
      <c r="P2" s="7" t="s">
        <v>24</v>
      </c>
      <c r="Q2" s="7" t="s">
        <v>25</v>
      </c>
      <c r="R2" s="7" t="s">
        <v>26</v>
      </c>
      <c r="T2" s="1">
        <v>2019</v>
      </c>
      <c r="U2" s="1">
        <v>2020</v>
      </c>
      <c r="V2" s="1">
        <v>2021</v>
      </c>
      <c r="W2" s="1">
        <v>2022</v>
      </c>
      <c r="X2" s="1">
        <v>2023</v>
      </c>
      <c r="Y2" s="1">
        <v>2024</v>
      </c>
      <c r="Z2" s="1">
        <v>2025</v>
      </c>
      <c r="AA2" s="1">
        <v>2026</v>
      </c>
      <c r="AB2" s="1">
        <v>2027</v>
      </c>
      <c r="AC2" s="1">
        <v>2028</v>
      </c>
      <c r="AD2" s="1">
        <v>2029</v>
      </c>
      <c r="AE2" s="1">
        <v>2030</v>
      </c>
      <c r="AF2" s="1">
        <v>2031</v>
      </c>
      <c r="AG2" s="1">
        <v>2032</v>
      </c>
      <c r="AH2" s="1">
        <v>2033</v>
      </c>
      <c r="AI2" s="1">
        <v>2034</v>
      </c>
      <c r="AJ2" s="1">
        <v>2035</v>
      </c>
    </row>
    <row r="3" spans="2:36" x14ac:dyDescent="0.3">
      <c r="B3" s="1" t="s">
        <v>27</v>
      </c>
      <c r="K3" s="4">
        <v>8102</v>
      </c>
      <c r="O3" s="4">
        <v>7521</v>
      </c>
      <c r="T3" s="4">
        <v>23852</v>
      </c>
      <c r="U3" s="4">
        <v>27015</v>
      </c>
      <c r="V3" s="4">
        <v>27868</v>
      </c>
      <c r="W3" s="4">
        <v>28522</v>
      </c>
      <c r="X3" s="4">
        <v>30897</v>
      </c>
      <c r="Y3" s="4">
        <v>32726</v>
      </c>
    </row>
    <row r="4" spans="2:36" x14ac:dyDescent="0.3">
      <c r="B4" s="1" t="s">
        <v>28</v>
      </c>
      <c r="K4" s="4">
        <v>2031</v>
      </c>
      <c r="O4" s="4">
        <v>1947</v>
      </c>
      <c r="T4" s="4">
        <v>9989</v>
      </c>
      <c r="U4" s="4">
        <v>9784</v>
      </c>
      <c r="V4" s="4">
        <v>7799</v>
      </c>
      <c r="W4" s="4">
        <v>8080</v>
      </c>
      <c r="X4" s="4">
        <v>8393</v>
      </c>
      <c r="Y4" s="4">
        <v>8307</v>
      </c>
    </row>
    <row r="5" spans="2:36" s="2" customFormat="1" x14ac:dyDescent="0.3">
      <c r="B5" s="2" t="s">
        <v>29</v>
      </c>
      <c r="K5" s="9">
        <f>K3+K4</f>
        <v>10133</v>
      </c>
      <c r="O5" s="9">
        <f>O3+O4</f>
        <v>9468</v>
      </c>
      <c r="T5" s="9">
        <f>T3+T4</f>
        <v>33841</v>
      </c>
      <c r="U5" s="9">
        <f>U3+U4</f>
        <v>36799</v>
      </c>
      <c r="V5" s="9">
        <f>V3+V4</f>
        <v>35667</v>
      </c>
      <c r="W5" s="9">
        <f>W3+W4</f>
        <v>36602</v>
      </c>
      <c r="X5" s="9">
        <f>X3+X4</f>
        <v>39290</v>
      </c>
      <c r="Y5" s="9">
        <f>Y3+Y4</f>
        <v>41033</v>
      </c>
    </row>
    <row r="6" spans="2:36" x14ac:dyDescent="0.3">
      <c r="B6" s="1" t="s">
        <v>30</v>
      </c>
      <c r="K6" s="4">
        <v>6411</v>
      </c>
      <c r="O6" s="4">
        <v>6366</v>
      </c>
      <c r="T6" s="4">
        <v>18675</v>
      </c>
      <c r="U6" s="4">
        <v>21559</v>
      </c>
      <c r="V6" s="4">
        <v>22309</v>
      </c>
      <c r="W6" s="4">
        <v>22761</v>
      </c>
      <c r="X6" s="4">
        <v>26226</v>
      </c>
      <c r="Y6" s="4">
        <v>26188</v>
      </c>
    </row>
    <row r="7" spans="2:36" x14ac:dyDescent="0.3">
      <c r="B7" s="1" t="s">
        <v>31</v>
      </c>
      <c r="K7" s="4">
        <v>1589</v>
      </c>
      <c r="O7" s="4">
        <v>1522</v>
      </c>
      <c r="T7" s="4">
        <v>7907</v>
      </c>
      <c r="U7" s="4">
        <v>7762</v>
      </c>
      <c r="V7" s="4">
        <v>6090</v>
      </c>
      <c r="W7" s="4">
        <v>6367</v>
      </c>
      <c r="X7" s="4">
        <v>6513</v>
      </c>
      <c r="Y7" s="4">
        <v>6483</v>
      </c>
    </row>
    <row r="8" spans="2:36" x14ac:dyDescent="0.3">
      <c r="B8" s="1" t="s">
        <v>52</v>
      </c>
      <c r="K8" s="4">
        <f>K6+K7</f>
        <v>8000</v>
      </c>
      <c r="O8" s="4">
        <f>O6+O7</f>
        <v>7888</v>
      </c>
      <c r="T8" s="4">
        <f>T6+T7</f>
        <v>26582</v>
      </c>
      <c r="U8" s="4">
        <f>U6+U7</f>
        <v>29321</v>
      </c>
      <c r="V8" s="4">
        <f>V6+V7</f>
        <v>28399</v>
      </c>
      <c r="W8" s="4">
        <f>W6+W7</f>
        <v>29128</v>
      </c>
      <c r="X8" s="4">
        <f>X6+X7</f>
        <v>32739</v>
      </c>
      <c r="Y8" s="4">
        <f>Y6+Y7</f>
        <v>32671</v>
      </c>
    </row>
    <row r="9" spans="2:36" s="2" customFormat="1" x14ac:dyDescent="0.3">
      <c r="B9" s="2" t="s">
        <v>32</v>
      </c>
      <c r="K9" s="9">
        <f>K5-K8</f>
        <v>2133</v>
      </c>
      <c r="O9" s="9">
        <f>O5-O8</f>
        <v>1580</v>
      </c>
      <c r="T9" s="9">
        <f>T5-T8</f>
        <v>7259</v>
      </c>
      <c r="U9" s="9">
        <f>U5-U8</f>
        <v>7478</v>
      </c>
      <c r="V9" s="9">
        <f>V5-V8</f>
        <v>7268</v>
      </c>
      <c r="W9" s="9">
        <f>W5-W8</f>
        <v>7474</v>
      </c>
      <c r="X9" s="9">
        <f>X5-X8</f>
        <v>6551</v>
      </c>
      <c r="Y9" s="9">
        <f>Y5-Y8</f>
        <v>8362</v>
      </c>
    </row>
    <row r="10" spans="2:36" x14ac:dyDescent="0.3">
      <c r="B10" s="1" t="s">
        <v>33</v>
      </c>
      <c r="K10" s="4">
        <v>1062</v>
      </c>
      <c r="O10" s="4">
        <v>1007</v>
      </c>
      <c r="T10" s="4">
        <v>3290</v>
      </c>
      <c r="U10" s="4">
        <v>3413</v>
      </c>
      <c r="V10" s="4">
        <v>3597</v>
      </c>
      <c r="W10" s="4">
        <v>3873</v>
      </c>
      <c r="X10" s="4">
        <v>4014</v>
      </c>
      <c r="Y10" s="4">
        <v>3992</v>
      </c>
    </row>
    <row r="11" spans="2:36" s="2" customFormat="1" x14ac:dyDescent="0.3">
      <c r="B11" s="2" t="s">
        <v>34</v>
      </c>
      <c r="K11" s="9">
        <f>K9-K10</f>
        <v>1071</v>
      </c>
      <c r="O11" s="9">
        <f>O9-O10</f>
        <v>573</v>
      </c>
      <c r="T11" s="9">
        <f>T9-T10</f>
        <v>3969</v>
      </c>
      <c r="U11" s="9">
        <f>U9-U10</f>
        <v>4065</v>
      </c>
      <c r="V11" s="9">
        <f>V9-V10</f>
        <v>3671</v>
      </c>
      <c r="W11" s="9">
        <f>W9-W10</f>
        <v>3601</v>
      </c>
      <c r="X11" s="9">
        <f>X9-X10</f>
        <v>2537</v>
      </c>
      <c r="Y11" s="9">
        <f>Y9-Y10</f>
        <v>4370</v>
      </c>
    </row>
    <row r="12" spans="2:36" x14ac:dyDescent="0.3">
      <c r="B12" s="1" t="s">
        <v>36</v>
      </c>
      <c r="K12" s="4">
        <v>146</v>
      </c>
      <c r="O12" s="4">
        <v>156</v>
      </c>
      <c r="T12" s="4">
        <v>528</v>
      </c>
      <c r="U12" s="4">
        <v>593</v>
      </c>
      <c r="V12" s="4">
        <v>556</v>
      </c>
      <c r="W12" s="4">
        <v>506</v>
      </c>
      <c r="X12" s="4">
        <v>545</v>
      </c>
      <c r="Y12" s="4">
        <v>621</v>
      </c>
    </row>
    <row r="13" spans="2:36" x14ac:dyDescent="0.3">
      <c r="B13" s="1" t="s">
        <v>37</v>
      </c>
      <c r="K13" s="4">
        <v>-168</v>
      </c>
      <c r="O13" s="4">
        <v>-130</v>
      </c>
      <c r="T13" s="4">
        <f>-800+1800</f>
        <v>1000</v>
      </c>
      <c r="U13" s="4">
        <f>-1198+1034</f>
        <v>-164</v>
      </c>
      <c r="V13" s="4">
        <f>-1469-2355</f>
        <v>-3824</v>
      </c>
      <c r="W13" s="4">
        <f>-1505-1232</f>
        <v>-2737</v>
      </c>
      <c r="X13" s="4">
        <f>-530+422</f>
        <v>-108</v>
      </c>
      <c r="Y13" s="4">
        <f>-656-443</f>
        <v>-1099</v>
      </c>
    </row>
    <row r="14" spans="2:36" x14ac:dyDescent="0.3">
      <c r="B14" s="1" t="s">
        <v>35</v>
      </c>
      <c r="K14" s="4">
        <v>-38</v>
      </c>
      <c r="O14" s="4">
        <v>-31</v>
      </c>
      <c r="T14" s="4">
        <v>-107</v>
      </c>
      <c r="U14" s="4">
        <v>-92</v>
      </c>
      <c r="V14" s="4">
        <f>-19-1980</f>
        <v>-1999</v>
      </c>
      <c r="W14" s="4">
        <v>-4</v>
      </c>
      <c r="X14" s="4">
        <v>-246</v>
      </c>
      <c r="Y14" s="4">
        <v>-168</v>
      </c>
    </row>
    <row r="15" spans="2:36" x14ac:dyDescent="0.3">
      <c r="B15" s="1" t="s">
        <v>38</v>
      </c>
      <c r="K15" s="4">
        <f>SUM(K12:K14)</f>
        <v>-60</v>
      </c>
      <c r="O15" s="4">
        <f>SUM(O12:O14)</f>
        <v>-5</v>
      </c>
      <c r="T15" s="4">
        <f>SUM(T12:T14)</f>
        <v>1421</v>
      </c>
      <c r="U15" s="4">
        <f>SUM(U12:U14)</f>
        <v>337</v>
      </c>
      <c r="V15" s="4">
        <f>SUM(V12:V14)</f>
        <v>-5267</v>
      </c>
      <c r="W15" s="4">
        <f>SUM(W12:W14)</f>
        <v>-2235</v>
      </c>
      <c r="X15" s="4">
        <f>SUM(X12:X14)</f>
        <v>191</v>
      </c>
      <c r="Y15" s="4">
        <f>SUM(Y12:Y14)</f>
        <v>-646</v>
      </c>
    </row>
    <row r="16" spans="2:36" s="2" customFormat="1" x14ac:dyDescent="0.3">
      <c r="B16" s="2" t="s">
        <v>39</v>
      </c>
      <c r="K16" s="9">
        <f>K11-K15</f>
        <v>1131</v>
      </c>
      <c r="O16" s="9">
        <f>O11-O15</f>
        <v>578</v>
      </c>
      <c r="T16" s="9">
        <f>T11-T15</f>
        <v>2548</v>
      </c>
      <c r="U16" s="9">
        <f>U11-U15</f>
        <v>3728</v>
      </c>
      <c r="V16" s="9">
        <f>V11-V15</f>
        <v>8938</v>
      </c>
      <c r="W16" s="9">
        <f>W11-W15</f>
        <v>5836</v>
      </c>
      <c r="X16" s="9">
        <f>X11-X15</f>
        <v>2346</v>
      </c>
      <c r="Y16" s="9">
        <f>Y11-Y15</f>
        <v>5016</v>
      </c>
    </row>
    <row r="17" spans="2:25" x14ac:dyDescent="0.3">
      <c r="B17" s="1" t="s">
        <v>40</v>
      </c>
      <c r="K17" s="4">
        <v>187</v>
      </c>
      <c r="O17" s="4">
        <v>97</v>
      </c>
      <c r="T17" s="4">
        <v>300</v>
      </c>
      <c r="U17" s="4">
        <v>539</v>
      </c>
      <c r="V17" s="4">
        <v>1933</v>
      </c>
      <c r="W17" s="4">
        <v>940</v>
      </c>
      <c r="X17" s="4">
        <v>290</v>
      </c>
      <c r="Y17" s="4">
        <v>842</v>
      </c>
    </row>
    <row r="18" spans="2:25" s="2" customFormat="1" x14ac:dyDescent="0.3">
      <c r="B18" s="2" t="s">
        <v>41</v>
      </c>
      <c r="K18" s="9">
        <f>K16-K17</f>
        <v>944</v>
      </c>
      <c r="O18" s="9">
        <f>O16-O17</f>
        <v>481</v>
      </c>
      <c r="T18" s="9">
        <f>T16-T17</f>
        <v>2248</v>
      </c>
      <c r="U18" s="9">
        <f>U16-U17</f>
        <v>3189</v>
      </c>
      <c r="V18" s="9">
        <f>V16-V17</f>
        <v>7005</v>
      </c>
      <c r="W18" s="9">
        <f>W16-W17</f>
        <v>4896</v>
      </c>
      <c r="X18" s="9">
        <f>X16-X17</f>
        <v>2056</v>
      </c>
      <c r="Y18" s="9">
        <f>Y16-Y17</f>
        <v>4174</v>
      </c>
    </row>
    <row r="19" spans="2:25" x14ac:dyDescent="0.3">
      <c r="B19" s="1" t="s">
        <v>2</v>
      </c>
      <c r="K19" s="4">
        <v>143.9</v>
      </c>
      <c r="O19" s="4">
        <v>143.9</v>
      </c>
      <c r="T19" s="4">
        <v>169.3</v>
      </c>
      <c r="U19" s="4">
        <v>167.1</v>
      </c>
      <c r="V19" s="4">
        <v>160.30000000000001</v>
      </c>
      <c r="W19" s="4">
        <v>154.9</v>
      </c>
      <c r="X19" s="4">
        <v>151.5</v>
      </c>
      <c r="Y19" s="4">
        <v>147</v>
      </c>
    </row>
    <row r="20" spans="2:25" x14ac:dyDescent="0.3">
      <c r="B20" s="1" t="s">
        <v>42</v>
      </c>
      <c r="K20" s="8">
        <f>K18/K19</f>
        <v>6.5601111883252257</v>
      </c>
      <c r="O20" s="8">
        <f>O18/O19</f>
        <v>3.3425990271021542</v>
      </c>
      <c r="T20" s="8">
        <f>T18/T19</f>
        <v>13.278204370939161</v>
      </c>
      <c r="U20" s="8">
        <f>U18/U19</f>
        <v>19.084380610412929</v>
      </c>
      <c r="V20" s="8">
        <f>V18/V19</f>
        <v>43.699313786650031</v>
      </c>
      <c r="W20" s="8">
        <f>W18/W19</f>
        <v>31.607488702388636</v>
      </c>
      <c r="X20" s="8">
        <f>X18/X19</f>
        <v>13.570957095709572</v>
      </c>
      <c r="Y20" s="8">
        <f>Y18/Y19</f>
        <v>28.394557823129251</v>
      </c>
    </row>
    <row r="22" spans="2:25" x14ac:dyDescent="0.3">
      <c r="B22" s="1" t="s">
        <v>43</v>
      </c>
      <c r="K22" s="10"/>
      <c r="O22" s="10">
        <f>O3/K3-1</f>
        <v>-7.1710688718834903E-2</v>
      </c>
      <c r="T22" s="10"/>
      <c r="U22" s="10">
        <f t="shared" ref="T22:Y24" si="0">U3/T3-1</f>
        <v>0.13260942478618154</v>
      </c>
      <c r="V22" s="10">
        <f t="shared" si="0"/>
        <v>3.1575050897649559E-2</v>
      </c>
      <c r="W22" s="10">
        <f t="shared" si="0"/>
        <v>2.3467776661403761E-2</v>
      </c>
      <c r="X22" s="10">
        <f t="shared" si="0"/>
        <v>8.3269055465956088E-2</v>
      </c>
      <c r="Y22" s="10">
        <f>Y3/X3-1</f>
        <v>5.9196685762371803E-2</v>
      </c>
    </row>
    <row r="23" spans="2:25" x14ac:dyDescent="0.3">
      <c r="B23" s="1" t="s">
        <v>44</v>
      </c>
      <c r="K23" s="10"/>
      <c r="O23" s="10">
        <f t="shared" ref="O23:O24" si="1">O4/K4-1</f>
        <v>-4.1358936484490405E-2</v>
      </c>
      <c r="T23" s="10"/>
      <c r="U23" s="10">
        <f t="shared" si="0"/>
        <v>-2.0522574832315565E-2</v>
      </c>
      <c r="V23" s="10">
        <f t="shared" si="0"/>
        <v>-0.20288225674570726</v>
      </c>
      <c r="W23" s="10">
        <f t="shared" si="0"/>
        <v>3.6030260289780847E-2</v>
      </c>
      <c r="X23" s="10">
        <f t="shared" si="0"/>
        <v>3.8737623762376217E-2</v>
      </c>
      <c r="Y23" s="10">
        <f t="shared" ref="Y23:Y31" si="2">Y4/X4-1</f>
        <v>-1.0246634099845164E-2</v>
      </c>
    </row>
    <row r="24" spans="2:25" x14ac:dyDescent="0.3">
      <c r="B24" s="2" t="s">
        <v>45</v>
      </c>
      <c r="K24" s="11"/>
      <c r="O24" s="11">
        <f t="shared" si="1"/>
        <v>-6.5627158788117979E-2</v>
      </c>
      <c r="T24" s="11"/>
      <c r="U24" s="11">
        <f t="shared" si="0"/>
        <v>8.7408764516414994E-2</v>
      </c>
      <c r="V24" s="11">
        <f t="shared" si="0"/>
        <v>-3.0761705481127222E-2</v>
      </c>
      <c r="W24" s="11">
        <f t="shared" si="0"/>
        <v>2.6214708273754495E-2</v>
      </c>
      <c r="X24" s="11">
        <f t="shared" si="0"/>
        <v>7.3438609912026775E-2</v>
      </c>
      <c r="Y24" s="11">
        <f t="shared" si="2"/>
        <v>4.4362433189106598E-2</v>
      </c>
    </row>
    <row r="25" spans="2:25" x14ac:dyDescent="0.3">
      <c r="B25" s="1" t="s">
        <v>46</v>
      </c>
      <c r="K25" s="10">
        <f t="shared" ref="K25:K26" si="3">(K3-K6)/K3</f>
        <v>0.20871389780301161</v>
      </c>
      <c r="O25" s="10">
        <f t="shared" ref="O25" si="4">(O3-O6)/O3</f>
        <v>0.15357000398883128</v>
      </c>
      <c r="T25" s="10">
        <f t="shared" ref="T25:Y26" si="5">(T3-T6)/T3</f>
        <v>0.21704678852926379</v>
      </c>
      <c r="U25" s="10">
        <f t="shared" si="5"/>
        <v>0.20196187303349991</v>
      </c>
      <c r="V25" s="10">
        <f t="shared" si="5"/>
        <v>0.19947610162193197</v>
      </c>
      <c r="W25" s="10">
        <f t="shared" si="5"/>
        <v>0.20198443306920974</v>
      </c>
      <c r="X25" s="10">
        <f t="shared" si="5"/>
        <v>0.15117972618700845</v>
      </c>
      <c r="Y25" s="10">
        <f>(Y3-Y6)/Y3</f>
        <v>0.19977999144411171</v>
      </c>
    </row>
    <row r="26" spans="2:25" x14ac:dyDescent="0.3">
      <c r="B26" s="1" t="s">
        <v>47</v>
      </c>
      <c r="K26" s="10">
        <f t="shared" si="3"/>
        <v>0.21762678483505662</v>
      </c>
      <c r="O26" s="10">
        <f t="shared" ref="O26" si="6">(O4-O7)/O4</f>
        <v>0.21828454031843864</v>
      </c>
      <c r="T26" s="10">
        <f t="shared" si="5"/>
        <v>0.20842927219941937</v>
      </c>
      <c r="U26" s="10">
        <f t="shared" si="5"/>
        <v>0.20666394112837286</v>
      </c>
      <c r="V26" s="10">
        <f t="shared" si="5"/>
        <v>0.21913065777663804</v>
      </c>
      <c r="W26" s="10">
        <f t="shared" si="5"/>
        <v>0.2120049504950495</v>
      </c>
      <c r="X26" s="10">
        <f t="shared" si="5"/>
        <v>0.22399618729893958</v>
      </c>
      <c r="Y26" s="10">
        <f t="shared" ref="Y26:Y27" si="7">(Y4-Y7)/Y4</f>
        <v>0.21957385337667029</v>
      </c>
    </row>
    <row r="27" spans="2:25" x14ac:dyDescent="0.3">
      <c r="B27" s="1" t="s">
        <v>48</v>
      </c>
      <c r="K27" s="10">
        <f t="shared" ref="K27" si="8">K9/K5</f>
        <v>0.21050034540609888</v>
      </c>
      <c r="O27" s="10">
        <f t="shared" ref="O27" si="9">O9/O5</f>
        <v>0.16687790452049006</v>
      </c>
      <c r="T27" s="10">
        <f t="shared" ref="T27:Y27" si="10">T9/T5</f>
        <v>0.21450311752016785</v>
      </c>
      <c r="U27" s="10">
        <f t="shared" si="10"/>
        <v>0.2032120438055382</v>
      </c>
      <c r="V27" s="10">
        <f t="shared" si="10"/>
        <v>0.20377379650657471</v>
      </c>
      <c r="W27" s="10">
        <f t="shared" si="10"/>
        <v>0.20419649199497295</v>
      </c>
      <c r="X27" s="10">
        <f t="shared" si="10"/>
        <v>0.16673453805039451</v>
      </c>
      <c r="Y27" s="10">
        <f>Y9/Y5</f>
        <v>0.20378719567177639</v>
      </c>
    </row>
    <row r="28" spans="2:25" x14ac:dyDescent="0.3">
      <c r="B28" s="1" t="s">
        <v>51</v>
      </c>
      <c r="K28" s="10"/>
      <c r="O28" s="10">
        <f>O10/K10-1</f>
        <v>-5.1789077212806012E-2</v>
      </c>
      <c r="T28" s="10"/>
      <c r="U28" s="10">
        <f t="shared" ref="T28:Y28" si="11">U10/T10-1</f>
        <v>3.7386018237081986E-2</v>
      </c>
      <c r="V28" s="10">
        <f t="shared" si="11"/>
        <v>5.3911514796366911E-2</v>
      </c>
      <c r="W28" s="10">
        <f t="shared" si="11"/>
        <v>7.6730608840700487E-2</v>
      </c>
      <c r="X28" s="10">
        <f t="shared" si="11"/>
        <v>3.6405886909372631E-2</v>
      </c>
      <c r="Y28" s="10">
        <f>Y10/X10-1</f>
        <v>-5.4808171400099193E-3</v>
      </c>
    </row>
    <row r="29" spans="2:25" x14ac:dyDescent="0.3">
      <c r="B29" s="1" t="s">
        <v>49</v>
      </c>
      <c r="K29" s="10">
        <f t="shared" ref="K29" si="12">K11/K5</f>
        <v>0.10569426625875851</v>
      </c>
      <c r="O29" s="10">
        <f t="shared" ref="O29" si="13">O11/O5</f>
        <v>6.0519645120405578E-2</v>
      </c>
      <c r="T29" s="10">
        <f t="shared" ref="T29:Y29" si="14">T11/T5</f>
        <v>0.11728376821015928</v>
      </c>
      <c r="U29" s="10">
        <f t="shared" si="14"/>
        <v>0.11046495828690997</v>
      </c>
      <c r="V29" s="10">
        <f t="shared" si="14"/>
        <v>0.10292427173577817</v>
      </c>
      <c r="W29" s="10">
        <f t="shared" si="14"/>
        <v>9.8382602043604175E-2</v>
      </c>
      <c r="X29" s="10">
        <f t="shared" si="14"/>
        <v>6.4571137694069733E-2</v>
      </c>
      <c r="Y29" s="10">
        <f>Y11/Y5</f>
        <v>0.10649964662588648</v>
      </c>
    </row>
    <row r="30" spans="2:25" x14ac:dyDescent="0.3">
      <c r="B30" s="1" t="s">
        <v>40</v>
      </c>
      <c r="K30" s="10">
        <f t="shared" ref="K30" si="15">K17/K16</f>
        <v>0.16534040671971706</v>
      </c>
      <c r="O30" s="10">
        <f t="shared" ref="O30" si="16">O17/O16</f>
        <v>0.16782006920415224</v>
      </c>
      <c r="T30" s="10">
        <f t="shared" ref="T30:Y30" si="17">T17/T16</f>
        <v>0.11773940345368916</v>
      </c>
      <c r="U30" s="10">
        <f t="shared" si="17"/>
        <v>0.14458154506437768</v>
      </c>
      <c r="V30" s="10">
        <f t="shared" si="17"/>
        <v>0.21626762139181024</v>
      </c>
      <c r="W30" s="10">
        <f t="shared" si="17"/>
        <v>0.16106922549691569</v>
      </c>
      <c r="X30" s="10">
        <f t="shared" si="17"/>
        <v>0.12361466325660699</v>
      </c>
      <c r="Y30" s="10">
        <f>Y17/Y16</f>
        <v>0.16786283891547049</v>
      </c>
    </row>
    <row r="31" spans="2:25" x14ac:dyDescent="0.3">
      <c r="B31" s="1" t="s">
        <v>50</v>
      </c>
      <c r="K31" s="10">
        <f t="shared" ref="K31" si="18">K18/K5</f>
        <v>9.316095924208033E-2</v>
      </c>
      <c r="O31" s="10">
        <f t="shared" ref="O31" si="19">O18/O5</f>
        <v>5.0802703844528938E-2</v>
      </c>
      <c r="T31" s="10">
        <f t="shared" ref="T31:Y31" si="20">T18/T5</f>
        <v>6.6428297036139589E-2</v>
      </c>
      <c r="U31" s="10">
        <f t="shared" si="20"/>
        <v>8.6659963585967004E-2</v>
      </c>
      <c r="V31" s="10">
        <f t="shared" si="20"/>
        <v>0.19640003364454539</v>
      </c>
      <c r="W31" s="10">
        <f t="shared" si="20"/>
        <v>0.13376318233976286</v>
      </c>
      <c r="X31" s="10">
        <f t="shared" si="20"/>
        <v>5.2328836854161363E-2</v>
      </c>
      <c r="Y31" s="10">
        <f>Y18/Y5</f>
        <v>0.10172300343625862</v>
      </c>
    </row>
  </sheetData>
  <phoneticPr fontId="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2025-04-24T08:13:47Z</dcterms:created>
  <dcterms:modified xsi:type="dcterms:W3CDTF">2025-04-24T09:07:45Z</dcterms:modified>
</cp:coreProperties>
</file>