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os\Desktop\Financial Analysis\"/>
    </mc:Choice>
  </mc:AlternateContent>
  <xr:revisionPtr revIDLastSave="0" documentId="13_ncr:1_{1486A1FC-D29C-4C89-9B71-8A6083EFACFD}" xr6:coauthVersionLast="46" xr6:coauthVersionMax="46" xr10:uidLastSave="{00000000-0000-0000-0000-000000000000}"/>
  <bookViews>
    <workbookView xWindow="-108" yWindow="-108" windowWidth="23256" windowHeight="12576" activeTab="1" xr2:uid="{C1518689-06B2-4808-A0A6-6AC6D37ED62D}"/>
  </bookViews>
  <sheets>
    <sheet name="Main" sheetId="1" r:id="rId1"/>
    <sheet name="Model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3" i="2" l="1"/>
  <c r="V3" i="2"/>
  <c r="U3" i="2"/>
  <c r="AG7" i="2"/>
  <c r="AC7" i="2"/>
  <c r="T6" i="2" l="1"/>
  <c r="U6" i="2"/>
  <c r="U7" i="2"/>
  <c r="U23" i="2" s="1"/>
  <c r="T7" i="2"/>
  <c r="AB7" i="2" s="1"/>
  <c r="AD7" i="2" s="1"/>
  <c r="AB3" i="2"/>
  <c r="S5" i="2"/>
  <c r="D7" i="1"/>
  <c r="D6" i="1"/>
  <c r="S19" i="2"/>
  <c r="AA25" i="2"/>
  <c r="Z25" i="2"/>
  <c r="Y25" i="2"/>
  <c r="X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25" i="2"/>
  <c r="V7" i="2"/>
  <c r="V6" i="2"/>
  <c r="AB14" i="2"/>
  <c r="AC14" i="2" s="1"/>
  <c r="AD14" i="2" s="1"/>
  <c r="AE14" i="2" s="1"/>
  <c r="AF14" i="2" s="1"/>
  <c r="AG14" i="2" s="1"/>
  <c r="AH14" i="2" s="1"/>
  <c r="AI14" i="2" s="1"/>
  <c r="AJ14" i="2" s="1"/>
  <c r="AK14" i="2" s="1"/>
  <c r="AL14" i="2" s="1"/>
  <c r="AB11" i="2"/>
  <c r="AB10" i="2"/>
  <c r="AB8" i="2"/>
  <c r="V22" i="2"/>
  <c r="T22" i="2"/>
  <c r="S22" i="2"/>
  <c r="V20" i="2"/>
  <c r="U20" i="2"/>
  <c r="V19" i="2"/>
  <c r="U19" i="2"/>
  <c r="AA13" i="2"/>
  <c r="V10" i="2"/>
  <c r="U10" i="2"/>
  <c r="T10" i="2"/>
  <c r="V8" i="2"/>
  <c r="U8" i="2"/>
  <c r="T8" i="2"/>
  <c r="V5" i="2"/>
  <c r="V9" i="2" s="1"/>
  <c r="V12" i="2" s="1"/>
  <c r="V13" i="2" s="1"/>
  <c r="U5" i="2"/>
  <c r="U4" i="2" s="1"/>
  <c r="V4" i="2" l="1"/>
  <c r="AC3" i="2"/>
  <c r="AD3" i="2" s="1"/>
  <c r="AD5" i="2" s="1"/>
  <c r="U9" i="2"/>
  <c r="U21" i="2" s="1"/>
  <c r="T23" i="2"/>
  <c r="T5" i="2"/>
  <c r="T9" i="2" s="1"/>
  <c r="T12" i="2" s="1"/>
  <c r="T19" i="2"/>
  <c r="S20" i="2"/>
  <c r="AE7" i="2"/>
  <c r="AF7" i="2" s="1"/>
  <c r="S9" i="2"/>
  <c r="S12" i="2" s="1"/>
  <c r="S15" i="2" s="1"/>
  <c r="S23" i="2"/>
  <c r="V23" i="2"/>
  <c r="V24" i="2"/>
  <c r="V21" i="2"/>
  <c r="U22" i="2"/>
  <c r="AB6" i="2"/>
  <c r="AC6" i="2" s="1"/>
  <c r="AD6" i="2" s="1"/>
  <c r="R13" i="2"/>
  <c r="R5" i="2"/>
  <c r="R20" i="2" s="1"/>
  <c r="R22" i="2"/>
  <c r="R23" i="2"/>
  <c r="AO28" i="2"/>
  <c r="AA3" i="2"/>
  <c r="AA11" i="2"/>
  <c r="AC11" i="2" s="1"/>
  <c r="AD11" i="2" s="1"/>
  <c r="AE11" i="2" s="1"/>
  <c r="AF11" i="2" s="1"/>
  <c r="AG11" i="2" s="1"/>
  <c r="AH11" i="2" s="1"/>
  <c r="AI11" i="2" s="1"/>
  <c r="AJ11" i="2" s="1"/>
  <c r="AK11" i="2" s="1"/>
  <c r="AL11" i="2" s="1"/>
  <c r="AA10" i="2"/>
  <c r="AA8" i="2"/>
  <c r="AC8" i="2" s="1"/>
  <c r="AD8" i="2" s="1"/>
  <c r="AE8" i="2" s="1"/>
  <c r="AF8" i="2" s="1"/>
  <c r="AG8" i="2" s="1"/>
  <c r="AH8" i="2" s="1"/>
  <c r="AI8" i="2" s="1"/>
  <c r="AJ8" i="2" s="1"/>
  <c r="AK8" i="2" s="1"/>
  <c r="AL8" i="2" s="1"/>
  <c r="Z13" i="2"/>
  <c r="Z11" i="2"/>
  <c r="Z10" i="2"/>
  <c r="Z8" i="2"/>
  <c r="Z7" i="2"/>
  <c r="Z6" i="2"/>
  <c r="Z4" i="2"/>
  <c r="Z3" i="2"/>
  <c r="Y13" i="2"/>
  <c r="Y11" i="2"/>
  <c r="Y10" i="2"/>
  <c r="Y8" i="2"/>
  <c r="Y7" i="2"/>
  <c r="Y6" i="2"/>
  <c r="Y4" i="2"/>
  <c r="Y3" i="2"/>
  <c r="X13" i="2"/>
  <c r="X11" i="2"/>
  <c r="X10" i="2"/>
  <c r="X8" i="2"/>
  <c r="X7" i="2"/>
  <c r="X6" i="2"/>
  <c r="Y22" i="2" s="1"/>
  <c r="X4" i="2"/>
  <c r="X3" i="2"/>
  <c r="Q23" i="2"/>
  <c r="P23" i="2"/>
  <c r="O23" i="2"/>
  <c r="N23" i="2"/>
  <c r="M23" i="2"/>
  <c r="L23" i="2"/>
  <c r="K23" i="2"/>
  <c r="J23" i="2"/>
  <c r="I23" i="2"/>
  <c r="H23" i="2"/>
  <c r="G23" i="2"/>
  <c r="Q22" i="2"/>
  <c r="P22" i="2"/>
  <c r="O22" i="2"/>
  <c r="N22" i="2"/>
  <c r="M22" i="2"/>
  <c r="L22" i="2"/>
  <c r="K22" i="2"/>
  <c r="J22" i="2"/>
  <c r="I22" i="2"/>
  <c r="H22" i="2"/>
  <c r="G22" i="2"/>
  <c r="Q19" i="2"/>
  <c r="P19" i="2"/>
  <c r="O19" i="2"/>
  <c r="N19" i="2"/>
  <c r="M19" i="2"/>
  <c r="L19" i="2"/>
  <c r="K19" i="2"/>
  <c r="J19" i="2"/>
  <c r="I19" i="2"/>
  <c r="H19" i="2"/>
  <c r="G19" i="2"/>
  <c r="F14" i="2"/>
  <c r="F5" i="2"/>
  <c r="F9" i="2" s="1"/>
  <c r="F12" i="2" s="1"/>
  <c r="D14" i="2"/>
  <c r="D5" i="2"/>
  <c r="D9" i="2" s="1"/>
  <c r="D12" i="2" s="1"/>
  <c r="D24" i="2" s="1"/>
  <c r="C14" i="2"/>
  <c r="C5" i="2"/>
  <c r="C9" i="2" s="1"/>
  <c r="C12" i="2" s="1"/>
  <c r="C24" i="2" s="1"/>
  <c r="G14" i="2"/>
  <c r="G5" i="2"/>
  <c r="G9" i="2" s="1"/>
  <c r="G12" i="2" s="1"/>
  <c r="G24" i="2" s="1"/>
  <c r="H5" i="2"/>
  <c r="H9" i="2" s="1"/>
  <c r="H12" i="2" s="1"/>
  <c r="H15" i="2" s="1"/>
  <c r="H17" i="2" s="1"/>
  <c r="E14" i="2"/>
  <c r="E5" i="2"/>
  <c r="E9" i="2" s="1"/>
  <c r="E12" i="2" s="1"/>
  <c r="E24" i="2" s="1"/>
  <c r="I5" i="2"/>
  <c r="I9" i="2" s="1"/>
  <c r="I12" i="2" s="1"/>
  <c r="I15" i="2" s="1"/>
  <c r="I17" i="2" s="1"/>
  <c r="J14" i="2"/>
  <c r="J5" i="2"/>
  <c r="J9" i="2" s="1"/>
  <c r="J12" i="2" s="1"/>
  <c r="N5" i="2"/>
  <c r="N9" i="2" s="1"/>
  <c r="N12" i="2" s="1"/>
  <c r="N15" i="2" s="1"/>
  <c r="N17" i="2" s="1"/>
  <c r="O14" i="2"/>
  <c r="K5" i="2"/>
  <c r="K9" i="2" s="1"/>
  <c r="K12" i="2" s="1"/>
  <c r="K15" i="2" s="1"/>
  <c r="K17" i="2" s="1"/>
  <c r="O5" i="2"/>
  <c r="O9" i="2" s="1"/>
  <c r="O12" i="2" s="1"/>
  <c r="O24" i="2" s="1"/>
  <c r="L14" i="2"/>
  <c r="L5" i="2"/>
  <c r="L9" i="2" s="1"/>
  <c r="L12" i="2" s="1"/>
  <c r="L15" i="2" s="1"/>
  <c r="L17" i="2" s="1"/>
  <c r="P14" i="2"/>
  <c r="P5" i="2"/>
  <c r="P9" i="2" s="1"/>
  <c r="P12" i="2" s="1"/>
  <c r="M14" i="2"/>
  <c r="M5" i="2"/>
  <c r="M9" i="2" s="1"/>
  <c r="M12" i="2" s="1"/>
  <c r="M24" i="2" s="1"/>
  <c r="Q14" i="2"/>
  <c r="Q5" i="2"/>
  <c r="Q9" i="2" s="1"/>
  <c r="Q12" i="2" s="1"/>
  <c r="Q24" i="2" s="1"/>
  <c r="D5" i="1"/>
  <c r="F3" i="1"/>
  <c r="T13" i="2" l="1"/>
  <c r="T15" i="2" s="1"/>
  <c r="U12" i="2"/>
  <c r="T4" i="2"/>
  <c r="AB4" i="2" s="1"/>
  <c r="AB5" i="2" s="1"/>
  <c r="T20" i="2"/>
  <c r="T24" i="2"/>
  <c r="T21" i="2"/>
  <c r="S21" i="2"/>
  <c r="S24" i="2"/>
  <c r="S17" i="2"/>
  <c r="S25" i="2"/>
  <c r="V15" i="2"/>
  <c r="D8" i="1"/>
  <c r="AO25" i="2" s="1"/>
  <c r="F21" i="2"/>
  <c r="O20" i="2"/>
  <c r="Y14" i="2"/>
  <c r="N20" i="2"/>
  <c r="E20" i="2"/>
  <c r="X14" i="2"/>
  <c r="L24" i="2"/>
  <c r="Z19" i="2"/>
  <c r="F15" i="2"/>
  <c r="F17" i="2" s="1"/>
  <c r="Q20" i="2"/>
  <c r="Y19" i="2"/>
  <c r="K21" i="2"/>
  <c r="L21" i="2"/>
  <c r="Y23" i="2"/>
  <c r="Z22" i="2"/>
  <c r="AA14" i="2"/>
  <c r="Z23" i="2"/>
  <c r="Z14" i="2"/>
  <c r="I20" i="2"/>
  <c r="F24" i="2"/>
  <c r="C20" i="2"/>
  <c r="AC19" i="2"/>
  <c r="P15" i="2"/>
  <c r="P17" i="2" s="1"/>
  <c r="J15" i="2"/>
  <c r="J17" i="2" s="1"/>
  <c r="H20" i="2"/>
  <c r="P20" i="2"/>
  <c r="M21" i="2"/>
  <c r="N24" i="2"/>
  <c r="AA6" i="2"/>
  <c r="AA22" i="2" s="1"/>
  <c r="D20" i="2"/>
  <c r="R9" i="2"/>
  <c r="N21" i="2"/>
  <c r="J20" i="2"/>
  <c r="G21" i="2"/>
  <c r="O21" i="2"/>
  <c r="H24" i="2"/>
  <c r="P24" i="2"/>
  <c r="F20" i="2"/>
  <c r="AA7" i="2"/>
  <c r="AH7" i="2" s="1"/>
  <c r="AI7" i="2" s="1"/>
  <c r="AJ7" i="2" s="1"/>
  <c r="AK7" i="2" s="1"/>
  <c r="AL7" i="2" s="1"/>
  <c r="AL23" i="2" s="1"/>
  <c r="K20" i="2"/>
  <c r="H21" i="2"/>
  <c r="P21" i="2"/>
  <c r="I24" i="2"/>
  <c r="C21" i="2"/>
  <c r="L20" i="2"/>
  <c r="I21" i="2"/>
  <c r="Q21" i="2"/>
  <c r="J24" i="2"/>
  <c r="D21" i="2"/>
  <c r="G20" i="2"/>
  <c r="M20" i="2"/>
  <c r="J21" i="2"/>
  <c r="K24" i="2"/>
  <c r="X5" i="2"/>
  <c r="X20" i="2" s="1"/>
  <c r="E21" i="2"/>
  <c r="AB19" i="2"/>
  <c r="AA4" i="2"/>
  <c r="AA5" i="2" s="1"/>
  <c r="AA19" i="2"/>
  <c r="R19" i="2"/>
  <c r="Z5" i="2"/>
  <c r="Y5" i="2"/>
  <c r="D15" i="2"/>
  <c r="D17" i="2" s="1"/>
  <c r="C15" i="2"/>
  <c r="C17" i="2" s="1"/>
  <c r="G15" i="2"/>
  <c r="G17" i="2" s="1"/>
  <c r="E15" i="2"/>
  <c r="E17" i="2" s="1"/>
  <c r="Q15" i="2"/>
  <c r="Q17" i="2" s="1"/>
  <c r="O15" i="2"/>
  <c r="O17" i="2" s="1"/>
  <c r="M15" i="2"/>
  <c r="M17" i="2" s="1"/>
  <c r="U13" i="2" l="1"/>
  <c r="U24" i="2" s="1"/>
  <c r="T17" i="2"/>
  <c r="T25" i="2"/>
  <c r="V17" i="2"/>
  <c r="V25" i="2"/>
  <c r="AB13" i="2"/>
  <c r="U15" i="2"/>
  <c r="U17" i="2" s="1"/>
  <c r="D9" i="1"/>
  <c r="AA23" i="2"/>
  <c r="AE23" i="2"/>
  <c r="AD23" i="2"/>
  <c r="R21" i="2"/>
  <c r="R12" i="2"/>
  <c r="AB23" i="2"/>
  <c r="AB22" i="2"/>
  <c r="X9" i="2"/>
  <c r="AC23" i="2"/>
  <c r="AB20" i="2"/>
  <c r="Y9" i="2"/>
  <c r="Y20" i="2"/>
  <c r="Z9" i="2"/>
  <c r="Z20" i="2"/>
  <c r="AC5" i="2"/>
  <c r="AG23" i="2"/>
  <c r="AF23" i="2"/>
  <c r="AA9" i="2"/>
  <c r="AA20" i="2"/>
  <c r="U25" i="2" l="1"/>
  <c r="AB9" i="2"/>
  <c r="AB21" i="2" s="1"/>
  <c r="AC20" i="2"/>
  <c r="AC4" i="2"/>
  <c r="AD4" i="2"/>
  <c r="AE3" i="2"/>
  <c r="AD19" i="2"/>
  <c r="X12" i="2"/>
  <c r="X21" i="2"/>
  <c r="Z12" i="2"/>
  <c r="Z21" i="2"/>
  <c r="AC9" i="2"/>
  <c r="Y12" i="2"/>
  <c r="Y21" i="2"/>
  <c r="R15" i="2"/>
  <c r="R17" i="2" s="1"/>
  <c r="AH23" i="2"/>
  <c r="AA12" i="2"/>
  <c r="AA21" i="2"/>
  <c r="AE5" i="2" l="1"/>
  <c r="AF3" i="2"/>
  <c r="AF5" i="2" s="1"/>
  <c r="AC22" i="2"/>
  <c r="AB12" i="2"/>
  <c r="AB24" i="2" s="1"/>
  <c r="AC12" i="2"/>
  <c r="AC13" i="2" s="1"/>
  <c r="AC21" i="2"/>
  <c r="Y15" i="2"/>
  <c r="Y17" i="2" s="1"/>
  <c r="Y24" i="2"/>
  <c r="X15" i="2"/>
  <c r="X17" i="2" s="1"/>
  <c r="X24" i="2"/>
  <c r="AE6" i="2"/>
  <c r="AF6" i="2" s="1"/>
  <c r="Z15" i="2"/>
  <c r="Z17" i="2" s="1"/>
  <c r="Z24" i="2"/>
  <c r="AD20" i="2"/>
  <c r="AA15" i="2"/>
  <c r="R24" i="2"/>
  <c r="AE19" i="2"/>
  <c r="AI23" i="2"/>
  <c r="AG3" i="2" l="1"/>
  <c r="AD9" i="2"/>
  <c r="AD12" i="2" s="1"/>
  <c r="AD13" i="2" s="1"/>
  <c r="AG6" i="2"/>
  <c r="AH6" i="2" s="1"/>
  <c r="AI6" i="2" s="1"/>
  <c r="AJ6" i="2" s="1"/>
  <c r="AK6" i="2" s="1"/>
  <c r="AL6" i="2" s="1"/>
  <c r="AL22" i="2" s="1"/>
  <c r="AD22" i="2"/>
  <c r="AA17" i="2"/>
  <c r="AA24" i="2"/>
  <c r="AC24" i="2"/>
  <c r="AF4" i="2"/>
  <c r="AF19" i="2"/>
  <c r="AE20" i="2"/>
  <c r="AE4" i="2"/>
  <c r="AB15" i="2"/>
  <c r="AK23" i="2"/>
  <c r="AJ23" i="2"/>
  <c r="AH3" i="2" l="1"/>
  <c r="AG5" i="2"/>
  <c r="AB17" i="2"/>
  <c r="AB25" i="2"/>
  <c r="AD21" i="2"/>
  <c r="AC15" i="2"/>
  <c r="AG19" i="2"/>
  <c r="AF22" i="2"/>
  <c r="AF20" i="2"/>
  <c r="AF9" i="2"/>
  <c r="AD24" i="2"/>
  <c r="AE9" i="2"/>
  <c r="AE22" i="2"/>
  <c r="AI3" i="2" l="1"/>
  <c r="AH5" i="2"/>
  <c r="AC17" i="2"/>
  <c r="AC25" i="2"/>
  <c r="AD15" i="2"/>
  <c r="AE12" i="2"/>
  <c r="AE13" i="2" s="1"/>
  <c r="AE21" i="2"/>
  <c r="AH19" i="2"/>
  <c r="AF12" i="2"/>
  <c r="AF13" i="2" s="1"/>
  <c r="AF21" i="2"/>
  <c r="AG22" i="2"/>
  <c r="AG20" i="2"/>
  <c r="AG9" i="2"/>
  <c r="AG4" i="2"/>
  <c r="AJ3" i="2" l="1"/>
  <c r="AI5" i="2"/>
  <c r="AD17" i="2"/>
  <c r="AD25" i="2"/>
  <c r="AH22" i="2"/>
  <c r="AE24" i="2"/>
  <c r="AF15" i="2"/>
  <c r="AG12" i="2"/>
  <c r="AG13" i="2" s="1"/>
  <c r="AG21" i="2"/>
  <c r="AH20" i="2"/>
  <c r="AH9" i="2"/>
  <c r="AH4" i="2"/>
  <c r="AI19" i="2"/>
  <c r="AK3" i="2" l="1"/>
  <c r="AJ5" i="2"/>
  <c r="AF17" i="2"/>
  <c r="AF25" i="2"/>
  <c r="AE15" i="2"/>
  <c r="AE25" i="2" s="1"/>
  <c r="AH12" i="2"/>
  <c r="AH13" i="2" s="1"/>
  <c r="AH21" i="2"/>
  <c r="AI22" i="2"/>
  <c r="AG24" i="2"/>
  <c r="AJ19" i="2"/>
  <c r="AF24" i="2"/>
  <c r="AI20" i="2"/>
  <c r="AI9" i="2"/>
  <c r="AI4" i="2"/>
  <c r="AL3" i="2" l="1"/>
  <c r="AK5" i="2"/>
  <c r="AK4" i="2" s="1"/>
  <c r="AE17" i="2"/>
  <c r="AH24" i="2"/>
  <c r="AJ20" i="2"/>
  <c r="AJ9" i="2"/>
  <c r="AG15" i="2"/>
  <c r="AK22" i="2"/>
  <c r="AJ22" i="2"/>
  <c r="AK19" i="2"/>
  <c r="AI12" i="2"/>
  <c r="AI13" i="2" s="1"/>
  <c r="AI21" i="2"/>
  <c r="AJ4" i="2"/>
  <c r="AL5" i="2" l="1"/>
  <c r="AL4" i="2" s="1"/>
  <c r="AL19" i="2"/>
  <c r="AG17" i="2"/>
  <c r="AG25" i="2"/>
  <c r="AJ12" i="2"/>
  <c r="AJ13" i="2" s="1"/>
  <c r="AJ21" i="2"/>
  <c r="AI24" i="2"/>
  <c r="AK20" i="2"/>
  <c r="AK9" i="2"/>
  <c r="AH15" i="2"/>
  <c r="AH25" i="2" s="1"/>
  <c r="AL9" i="2" l="1"/>
  <c r="AL20" i="2"/>
  <c r="AI15" i="2"/>
  <c r="AH17" i="2"/>
  <c r="AK12" i="2"/>
  <c r="AK13" i="2" s="1"/>
  <c r="AK21" i="2"/>
  <c r="AJ24" i="2"/>
  <c r="AL12" i="2" l="1"/>
  <c r="AL21" i="2"/>
  <c r="AI17" i="2"/>
  <c r="AI25" i="2"/>
  <c r="AJ15" i="2"/>
  <c r="AK24" i="2"/>
  <c r="AL13" i="2" l="1"/>
  <c r="AL24" i="2" s="1"/>
  <c r="AJ17" i="2"/>
  <c r="AJ25" i="2"/>
  <c r="AK15" i="2"/>
  <c r="AK25" i="2" s="1"/>
  <c r="AL15" i="2" l="1"/>
  <c r="AL25" i="2" s="1"/>
  <c r="AK17" i="2"/>
  <c r="AM15" i="2" l="1"/>
  <c r="AL17" i="2"/>
  <c r="AN15" i="2"/>
  <c r="AO15" i="2" s="1"/>
  <c r="AP15" i="2" s="1"/>
  <c r="AQ15" i="2" s="1"/>
  <c r="AR15" i="2" s="1"/>
  <c r="AS15" i="2" s="1"/>
  <c r="AT15" i="2" s="1"/>
  <c r="AU15" i="2" s="1"/>
  <c r="AV15" i="2" s="1"/>
  <c r="AW15" i="2" s="1"/>
  <c r="AX15" i="2" s="1"/>
  <c r="AY15" i="2" s="1"/>
  <c r="AZ15" i="2" s="1"/>
  <c r="BA15" i="2" s="1"/>
  <c r="BB15" i="2" s="1"/>
  <c r="BC15" i="2" s="1"/>
  <c r="BD15" i="2" s="1"/>
  <c r="BE15" i="2" s="1"/>
  <c r="BF15" i="2" s="1"/>
  <c r="BG15" i="2" s="1"/>
  <c r="BH15" i="2" s="1"/>
  <c r="BI15" i="2" s="1"/>
  <c r="BJ15" i="2" s="1"/>
  <c r="BK15" i="2" s="1"/>
  <c r="BL15" i="2" s="1"/>
  <c r="BM15" i="2" s="1"/>
  <c r="BN15" i="2" s="1"/>
  <c r="BO15" i="2" s="1"/>
  <c r="BP15" i="2" s="1"/>
  <c r="BQ15" i="2" s="1"/>
  <c r="BR15" i="2" s="1"/>
  <c r="BS15" i="2" s="1"/>
  <c r="BT15" i="2" s="1"/>
  <c r="BU15" i="2" s="1"/>
  <c r="BV15" i="2" s="1"/>
  <c r="BW15" i="2" s="1"/>
  <c r="BX15" i="2" s="1"/>
  <c r="BY15" i="2" s="1"/>
  <c r="BZ15" i="2" s="1"/>
  <c r="CA15" i="2" s="1"/>
  <c r="CB15" i="2" s="1"/>
  <c r="CC15" i="2" s="1"/>
  <c r="CD15" i="2" s="1"/>
  <c r="CE15" i="2" s="1"/>
  <c r="CF15" i="2" s="1"/>
  <c r="CG15" i="2" s="1"/>
  <c r="CH15" i="2" s="1"/>
  <c r="CI15" i="2" s="1"/>
  <c r="CJ15" i="2" s="1"/>
  <c r="CK15" i="2" s="1"/>
  <c r="CL15" i="2" s="1"/>
  <c r="CM15" i="2" s="1"/>
  <c r="CN15" i="2" s="1"/>
  <c r="CO15" i="2" s="1"/>
  <c r="CP15" i="2" s="1"/>
  <c r="CQ15" i="2" s="1"/>
  <c r="CR15" i="2" s="1"/>
  <c r="CS15" i="2" s="1"/>
  <c r="CT15" i="2" s="1"/>
  <c r="CU15" i="2" s="1"/>
  <c r="CV15" i="2" s="1"/>
  <c r="CW15" i="2" s="1"/>
  <c r="CX15" i="2" s="1"/>
  <c r="CY15" i="2" s="1"/>
  <c r="CZ15" i="2" s="1"/>
  <c r="DA15" i="2" s="1"/>
  <c r="DB15" i="2" s="1"/>
  <c r="DC15" i="2" s="1"/>
  <c r="DD15" i="2" s="1"/>
  <c r="DE15" i="2" s="1"/>
  <c r="DF15" i="2" s="1"/>
  <c r="DG15" i="2" s="1"/>
  <c r="DH15" i="2" s="1"/>
  <c r="DI15" i="2" s="1"/>
  <c r="DJ15" i="2" s="1"/>
  <c r="DK15" i="2" s="1"/>
  <c r="DL15" i="2" s="1"/>
  <c r="DM15" i="2" s="1"/>
  <c r="DN15" i="2" s="1"/>
  <c r="DO15" i="2" s="1"/>
  <c r="DP15" i="2" s="1"/>
  <c r="DQ15" i="2" s="1"/>
  <c r="DR15" i="2" s="1"/>
  <c r="DS15" i="2" s="1"/>
  <c r="DT15" i="2" s="1"/>
  <c r="DU15" i="2" s="1"/>
  <c r="DV15" i="2" s="1"/>
  <c r="DW15" i="2" s="1"/>
  <c r="DX15" i="2" s="1"/>
  <c r="DY15" i="2" s="1"/>
  <c r="DZ15" i="2" s="1"/>
  <c r="EA15" i="2" s="1"/>
  <c r="EB15" i="2" s="1"/>
  <c r="EC15" i="2" s="1"/>
  <c r="ED15" i="2" s="1"/>
  <c r="EE15" i="2" s="1"/>
  <c r="EF15" i="2" s="1"/>
  <c r="EG15" i="2" s="1"/>
  <c r="EH15" i="2" s="1"/>
  <c r="EI15" i="2" s="1"/>
  <c r="EJ15" i="2" s="1"/>
  <c r="EK15" i="2" s="1"/>
  <c r="EL15" i="2" s="1"/>
  <c r="EM15" i="2" s="1"/>
  <c r="EN15" i="2" s="1"/>
  <c r="EO15" i="2" s="1"/>
  <c r="EP15" i="2" s="1"/>
  <c r="EQ15" i="2" s="1"/>
  <c r="AO24" i="2" l="1"/>
  <c r="AO26" i="2" s="1"/>
  <c r="AO27" i="2" s="1"/>
  <c r="AO29" i="2" s="1"/>
</calcChain>
</file>

<file path=xl/sharedStrings.xml><?xml version="1.0" encoding="utf-8"?>
<sst xmlns="http://schemas.openxmlformats.org/spreadsheetml/2006/main" count="67" uniqueCount="62">
  <si>
    <t>NOK</t>
  </si>
  <si>
    <t>Price</t>
  </si>
  <si>
    <t>Shares</t>
  </si>
  <si>
    <t>MC</t>
  </si>
  <si>
    <t>Cash</t>
  </si>
  <si>
    <t>Debt</t>
  </si>
  <si>
    <t>Net Cash</t>
  </si>
  <si>
    <t>EV</t>
  </si>
  <si>
    <t>Time last checked</t>
  </si>
  <si>
    <t>Today</t>
  </si>
  <si>
    <t>Earnings</t>
  </si>
  <si>
    <t>Q320</t>
  </si>
  <si>
    <t>Revenue</t>
  </si>
  <si>
    <t>Q118</t>
  </si>
  <si>
    <t>Q218</t>
  </si>
  <si>
    <t>Q318</t>
  </si>
  <si>
    <t>Q418</t>
  </si>
  <si>
    <t>Q119</t>
  </si>
  <si>
    <t>Q219</t>
  </si>
  <si>
    <t>Q319</t>
  </si>
  <si>
    <t>Q419</t>
  </si>
  <si>
    <t>Q120</t>
  </si>
  <si>
    <t>Q220</t>
  </si>
  <si>
    <t>Q420</t>
  </si>
  <si>
    <t>Cost of sales</t>
  </si>
  <si>
    <t>Gross profit</t>
  </si>
  <si>
    <t>R&amp;D</t>
  </si>
  <si>
    <t>SG&amp;A</t>
  </si>
  <si>
    <t>Other operating expenses</t>
  </si>
  <si>
    <t>Operating profit</t>
  </si>
  <si>
    <t>Share of associates</t>
  </si>
  <si>
    <t>Net financial expense</t>
  </si>
  <si>
    <t>Pretax profit</t>
  </si>
  <si>
    <t>Taxes</t>
  </si>
  <si>
    <t>Net profit</t>
  </si>
  <si>
    <t>EPS</t>
  </si>
  <si>
    <t>MI + discontinued</t>
  </si>
  <si>
    <t>Q117</t>
  </si>
  <si>
    <t>Q217</t>
  </si>
  <si>
    <t>Q317</t>
  </si>
  <si>
    <t>Q417</t>
  </si>
  <si>
    <t>Revenue y/y</t>
  </si>
  <si>
    <t>Gross Margin</t>
  </si>
  <si>
    <t>Operating Margin</t>
  </si>
  <si>
    <t>R&amp;D y/y</t>
  </si>
  <si>
    <t>SG&amp;A y/y</t>
  </si>
  <si>
    <t>Maturity</t>
  </si>
  <si>
    <t>Discount rate</t>
  </si>
  <si>
    <t>NPV</t>
  </si>
  <si>
    <t>Value</t>
  </si>
  <si>
    <t>Per share</t>
  </si>
  <si>
    <t>Current price</t>
  </si>
  <si>
    <t>Variance</t>
  </si>
  <si>
    <t>Net cash</t>
  </si>
  <si>
    <t>Consensus</t>
  </si>
  <si>
    <t>EUR/USD</t>
  </si>
  <si>
    <t>Q121</t>
  </si>
  <si>
    <t>Q221</t>
  </si>
  <si>
    <t>Q321</t>
  </si>
  <si>
    <t>Q421</t>
  </si>
  <si>
    <t>Net Margin</t>
  </si>
  <si>
    <t>Slightly undervalued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</si>
</sst>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$-409]#,##0.00"/>
    <numFmt numFmtId="165" formatCode="#,##0.00\ [$€-1];[Red]\-#,##0.00\ [$€-1]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/>
    </xf>
    <xf numFmtId="14" fontId="2" fillId="0" borderId="0" xfId="0" applyNumberFormat="1" applyFont="1" applyAlignment="1">
      <alignment horizontal="right"/>
    </xf>
    <xf numFmtId="16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4" fontId="1" fillId="0" borderId="0" xfId="0" applyNumberFormat="1" applyFont="1"/>
    <xf numFmtId="3" fontId="1" fillId="0" borderId="0" xfId="0" applyNumberFormat="1" applyFont="1"/>
    <xf numFmtId="0" fontId="0" fillId="0" borderId="0" xfId="0" applyFont="1"/>
    <xf numFmtId="9" fontId="0" fillId="0" borderId="0" xfId="0" applyNumberFormat="1"/>
    <xf numFmtId="9" fontId="1" fillId="0" borderId="0" xfId="0" applyNumberFormat="1" applyFont="1"/>
    <xf numFmtId="9" fontId="0" fillId="0" borderId="0" xfId="0" applyNumberFormat="1" applyFont="1"/>
    <xf numFmtId="3" fontId="0" fillId="0" borderId="0" xfId="0" applyNumberFormat="1" applyFon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30480</xdr:colOff>
      <xdr:row>0</xdr:row>
      <xdr:rowOff>0</xdr:rowOff>
    </xdr:from>
    <xdr:to>
      <xdr:col>19</xdr:col>
      <xdr:colOff>30480</xdr:colOff>
      <xdr:row>34</xdr:row>
      <xdr:rowOff>76200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317E9A72-9EAA-432B-B406-A77A465285D5}"/>
            </a:ext>
          </a:extLst>
        </xdr:cNvPr>
        <xdr:cNvCxnSpPr/>
      </xdr:nvCxnSpPr>
      <xdr:spPr>
        <a:xfrm>
          <a:off x="12519660" y="0"/>
          <a:ext cx="0" cy="629412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22860</xdr:colOff>
      <xdr:row>0</xdr:row>
      <xdr:rowOff>0</xdr:rowOff>
    </xdr:from>
    <xdr:to>
      <xdr:col>27</xdr:col>
      <xdr:colOff>22860</xdr:colOff>
      <xdr:row>33</xdr:row>
      <xdr:rowOff>91440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38DBE33-D7BE-4797-8798-D78C5A1AD080}"/>
            </a:ext>
          </a:extLst>
        </xdr:cNvPr>
        <xdr:cNvCxnSpPr/>
      </xdr:nvCxnSpPr>
      <xdr:spPr>
        <a:xfrm>
          <a:off x="17388840" y="0"/>
          <a:ext cx="0" cy="612648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FDC54-DE63-49A5-9D3E-9235D890CEE2}">
  <dimension ref="B2:G9"/>
  <sheetViews>
    <sheetView workbookViewId="0">
      <selection activeCell="E4" sqref="E4"/>
    </sheetView>
  </sheetViews>
  <sheetFormatPr defaultRowHeight="14.4" x14ac:dyDescent="0.3"/>
  <cols>
    <col min="4" max="4" width="10" bestFit="1" customWidth="1"/>
    <col min="5" max="7" width="15.77734375" style="2" customWidth="1"/>
  </cols>
  <sheetData>
    <row r="2" spans="2:7" x14ac:dyDescent="0.3">
      <c r="E2" s="2" t="s">
        <v>8</v>
      </c>
      <c r="F2" s="2" t="s">
        <v>9</v>
      </c>
      <c r="G2" s="2" t="s">
        <v>10</v>
      </c>
    </row>
    <row r="3" spans="2:7" x14ac:dyDescent="0.3">
      <c r="B3" s="1" t="s">
        <v>0</v>
      </c>
      <c r="C3" t="s">
        <v>1</v>
      </c>
      <c r="D3" s="4">
        <v>4.74</v>
      </c>
      <c r="E3" s="3">
        <v>44329</v>
      </c>
      <c r="F3" s="3">
        <f ca="1">TODAY()</f>
        <v>44329</v>
      </c>
      <c r="G3" s="3">
        <v>44406</v>
      </c>
    </row>
    <row r="4" spans="2:7" x14ac:dyDescent="0.3">
      <c r="C4" t="s">
        <v>2</v>
      </c>
      <c r="D4" s="5">
        <v>5624.1</v>
      </c>
      <c r="E4" s="2" t="s">
        <v>23</v>
      </c>
    </row>
    <row r="5" spans="2:7" x14ac:dyDescent="0.3">
      <c r="C5" t="s">
        <v>3</v>
      </c>
      <c r="D5" s="5">
        <f>D3*D4</f>
        <v>26658.234000000004</v>
      </c>
    </row>
    <row r="6" spans="2:7" x14ac:dyDescent="0.3">
      <c r="C6" t="s">
        <v>4</v>
      </c>
      <c r="D6" s="5">
        <f>7315+1527+829+235</f>
        <v>9906</v>
      </c>
      <c r="E6" s="2" t="s">
        <v>23</v>
      </c>
    </row>
    <row r="7" spans="2:7" x14ac:dyDescent="0.3">
      <c r="C7" t="s">
        <v>5</v>
      </c>
      <c r="D7" s="5">
        <f>114+770+5039</f>
        <v>5923</v>
      </c>
      <c r="E7" s="2" t="s">
        <v>23</v>
      </c>
    </row>
    <row r="8" spans="2:7" x14ac:dyDescent="0.3">
      <c r="C8" t="s">
        <v>6</v>
      </c>
      <c r="D8" s="5">
        <f>D6-D7</f>
        <v>3983</v>
      </c>
    </row>
    <row r="9" spans="2:7" x14ac:dyDescent="0.3">
      <c r="C9" t="s">
        <v>7</v>
      </c>
      <c r="D9" s="5">
        <f>D5-D8</f>
        <v>22675.234000000004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36840-FB28-4DFE-9052-EA57C463A67F}">
  <dimension ref="B2:EQ30"/>
  <sheetViews>
    <sheetView tabSelected="1" workbookViewId="0">
      <pane xSplit="2" ySplit="2" topLeftCell="Z5" activePane="bottomRight" state="frozen"/>
      <selection pane="topRight" activeCell="C1" sqref="C1"/>
      <selection pane="bottomLeft" activeCell="A3" sqref="A3"/>
      <selection pane="bottomRight" activeCell="AO30" sqref="AO30"/>
    </sheetView>
  </sheetViews>
  <sheetFormatPr defaultRowHeight="14.4" x14ac:dyDescent="0.3"/>
  <cols>
    <col min="2" max="2" width="22.109375" bestFit="1" customWidth="1"/>
    <col min="3" max="6" width="8.88671875" customWidth="1"/>
    <col min="27" max="27" width="8.88671875" customWidth="1"/>
    <col min="39" max="39" width="11.88671875" bestFit="1" customWidth="1"/>
    <col min="40" max="40" width="12" bestFit="1" customWidth="1"/>
    <col min="41" max="41" width="17.33203125" bestFit="1" customWidth="1"/>
  </cols>
  <sheetData>
    <row r="2" spans="2:147" x14ac:dyDescent="0.3">
      <c r="C2" s="6" t="s">
        <v>37</v>
      </c>
      <c r="D2" s="6" t="s">
        <v>38</v>
      </c>
      <c r="E2" s="6" t="s">
        <v>39</v>
      </c>
      <c r="F2" s="6" t="s">
        <v>40</v>
      </c>
      <c r="G2" s="6" t="s">
        <v>13</v>
      </c>
      <c r="H2" s="6" t="s">
        <v>14</v>
      </c>
      <c r="I2" s="6" t="s">
        <v>15</v>
      </c>
      <c r="J2" s="6" t="s">
        <v>16</v>
      </c>
      <c r="K2" s="6" t="s">
        <v>17</v>
      </c>
      <c r="L2" s="6" t="s">
        <v>18</v>
      </c>
      <c r="M2" s="6" t="s">
        <v>19</v>
      </c>
      <c r="N2" s="6" t="s">
        <v>20</v>
      </c>
      <c r="O2" s="6" t="s">
        <v>21</v>
      </c>
      <c r="P2" s="6" t="s">
        <v>22</v>
      </c>
      <c r="Q2" s="6" t="s">
        <v>11</v>
      </c>
      <c r="R2" s="6" t="s">
        <v>23</v>
      </c>
      <c r="S2" s="6" t="s">
        <v>56</v>
      </c>
      <c r="T2" s="6" t="s">
        <v>57</v>
      </c>
      <c r="U2" s="6" t="s">
        <v>58</v>
      </c>
      <c r="V2" s="6" t="s">
        <v>59</v>
      </c>
      <c r="X2">
        <v>2017</v>
      </c>
      <c r="Y2">
        <v>2018</v>
      </c>
      <c r="Z2">
        <v>2019</v>
      </c>
      <c r="AA2">
        <v>2020</v>
      </c>
      <c r="AB2">
        <v>2021</v>
      </c>
      <c r="AC2">
        <v>2022</v>
      </c>
      <c r="AD2">
        <v>2023</v>
      </c>
      <c r="AE2">
        <v>2024</v>
      </c>
      <c r="AF2">
        <v>2025</v>
      </c>
      <c r="AG2">
        <v>2026</v>
      </c>
      <c r="AH2">
        <v>2027</v>
      </c>
      <c r="AI2">
        <v>2028</v>
      </c>
      <c r="AJ2">
        <v>2029</v>
      </c>
      <c r="AK2">
        <v>2030</v>
      </c>
      <c r="AL2">
        <v>2031</v>
      </c>
    </row>
    <row r="3" spans="2:147" s="1" customFormat="1" x14ac:dyDescent="0.3">
      <c r="B3" s="1" t="s">
        <v>12</v>
      </c>
      <c r="C3" s="8">
        <v>5378</v>
      </c>
      <c r="D3" s="8">
        <v>5619</v>
      </c>
      <c r="E3" s="8">
        <v>5500</v>
      </c>
      <c r="F3" s="8">
        <v>6651</v>
      </c>
      <c r="G3" s="8">
        <v>4924</v>
      </c>
      <c r="H3" s="8">
        <v>5313</v>
      </c>
      <c r="I3" s="8">
        <v>5458</v>
      </c>
      <c r="J3" s="8">
        <v>6869</v>
      </c>
      <c r="K3" s="8">
        <v>5032</v>
      </c>
      <c r="L3" s="8">
        <v>5694</v>
      </c>
      <c r="M3" s="8">
        <v>5686</v>
      </c>
      <c r="N3" s="8">
        <v>6903</v>
      </c>
      <c r="O3" s="8">
        <v>4913</v>
      </c>
      <c r="P3" s="8">
        <v>5092</v>
      </c>
      <c r="Q3" s="8">
        <v>5294</v>
      </c>
      <c r="R3" s="8">
        <v>6568</v>
      </c>
      <c r="S3" s="8">
        <v>5076</v>
      </c>
      <c r="T3" s="8">
        <f>P3*1.09</f>
        <v>5550.2800000000007</v>
      </c>
      <c r="U3" s="8">
        <f>Q3*1.07</f>
        <v>5664.58</v>
      </c>
      <c r="V3" s="8">
        <f>R3*1.06</f>
        <v>6962.08</v>
      </c>
      <c r="X3" s="8">
        <f>SUM(C3:F3)</f>
        <v>23148</v>
      </c>
      <c r="Y3" s="8">
        <f>SUM(G3:J3)</f>
        <v>22564</v>
      </c>
      <c r="Z3" s="8">
        <f>SUM(K3:N3)</f>
        <v>23315</v>
      </c>
      <c r="AA3" s="8">
        <f>SUM(O3:R3)</f>
        <v>21867</v>
      </c>
      <c r="AB3" s="8">
        <f>SUM(S3:V3)</f>
        <v>23252.940000000002</v>
      </c>
      <c r="AC3" s="8">
        <f>AB3*1.04</f>
        <v>24183.057600000004</v>
      </c>
      <c r="AD3" s="8">
        <f>AC3*1.03</f>
        <v>24908.549328000005</v>
      </c>
      <c r="AE3" s="8">
        <f>AD3*1.03</f>
        <v>25655.805807840006</v>
      </c>
      <c r="AF3" s="8">
        <f>AE3*1.03</f>
        <v>26425.479982075209</v>
      </c>
      <c r="AG3" s="8">
        <f t="shared" ref="AG3:AH3" si="0">AF3*1.02</f>
        <v>26953.989581716713</v>
      </c>
      <c r="AH3" s="8">
        <f t="shared" si="0"/>
        <v>27493.069373351049</v>
      </c>
      <c r="AI3" s="8">
        <f>AH3*1.02</f>
        <v>28042.930760818072</v>
      </c>
      <c r="AJ3" s="8">
        <f>AI3*1.01</f>
        <v>28323.360068426253</v>
      </c>
      <c r="AK3" s="8">
        <f t="shared" ref="AK3:AL3" si="1">AJ3*1.01</f>
        <v>28606.593669110516</v>
      </c>
      <c r="AL3" s="8">
        <f t="shared" si="1"/>
        <v>28892.659605801622</v>
      </c>
    </row>
    <row r="4" spans="2:147" x14ac:dyDescent="0.3">
      <c r="B4" t="s">
        <v>24</v>
      </c>
      <c r="C4" s="5">
        <v>3252</v>
      </c>
      <c r="D4" s="5">
        <v>3383</v>
      </c>
      <c r="E4" s="5">
        <v>3315</v>
      </c>
      <c r="F4" s="5">
        <v>4058</v>
      </c>
      <c r="G4" s="5">
        <v>3119</v>
      </c>
      <c r="H4" s="5">
        <v>3453</v>
      </c>
      <c r="I4" s="5">
        <v>3439</v>
      </c>
      <c r="J4" s="5">
        <v>4108</v>
      </c>
      <c r="K4" s="5">
        <v>3452</v>
      </c>
      <c r="L4" s="5">
        <v>3629</v>
      </c>
      <c r="M4" s="5">
        <v>3717</v>
      </c>
      <c r="N4" s="5">
        <v>4191</v>
      </c>
      <c r="O4" s="5">
        <v>3135</v>
      </c>
      <c r="P4" s="5">
        <v>3086</v>
      </c>
      <c r="Q4" s="5">
        <v>3317</v>
      </c>
      <c r="R4" s="5">
        <v>3995</v>
      </c>
      <c r="S4" s="5">
        <v>3151</v>
      </c>
      <c r="T4" s="5">
        <f t="shared" ref="T4:V4" si="2">T3-T5</f>
        <v>3385.6708000000003</v>
      </c>
      <c r="U4" s="5">
        <f t="shared" si="2"/>
        <v>3512.0396000000001</v>
      </c>
      <c r="V4" s="5">
        <f t="shared" si="2"/>
        <v>4177.2479999999996</v>
      </c>
      <c r="X4" s="13">
        <f>SUM(C4:F4)</f>
        <v>14008</v>
      </c>
      <c r="Y4" s="13">
        <f>SUM(G4:J4)</f>
        <v>14119</v>
      </c>
      <c r="Z4" s="13">
        <f>SUM(K4:N4)</f>
        <v>14989</v>
      </c>
      <c r="AA4" s="13">
        <f>SUM(O4:R4)</f>
        <v>13533</v>
      </c>
      <c r="AB4" s="13">
        <f>SUM(S4:V4)</f>
        <v>14225.9584</v>
      </c>
      <c r="AC4" s="5">
        <f t="shared" ref="AC4:AK4" si="3">AC3-AC5</f>
        <v>14751.665136000001</v>
      </c>
      <c r="AD4" s="5">
        <f t="shared" si="3"/>
        <v>15194.215090080002</v>
      </c>
      <c r="AE4" s="5">
        <f t="shared" si="3"/>
        <v>15650.041542782403</v>
      </c>
      <c r="AF4" s="5">
        <f t="shared" si="3"/>
        <v>16119.542789065878</v>
      </c>
      <c r="AG4" s="5">
        <f t="shared" si="3"/>
        <v>16441.933644847195</v>
      </c>
      <c r="AH4" s="5">
        <f t="shared" si="3"/>
        <v>16770.77231774414</v>
      </c>
      <c r="AI4" s="5">
        <f t="shared" si="3"/>
        <v>17106.187764099021</v>
      </c>
      <c r="AJ4" s="5">
        <f t="shared" si="3"/>
        <v>17277.249641740014</v>
      </c>
      <c r="AK4" s="5">
        <f t="shared" si="3"/>
        <v>17450.022138157416</v>
      </c>
      <c r="AL4" s="5">
        <f t="shared" ref="AL4" si="4">AL3-AL5</f>
        <v>17624.522359538991</v>
      </c>
    </row>
    <row r="5" spans="2:147" s="1" customFormat="1" x14ac:dyDescent="0.3">
      <c r="B5" s="1" t="s">
        <v>25</v>
      </c>
      <c r="C5" s="8">
        <f t="shared" ref="C5:S5" si="5">C3-C4</f>
        <v>2126</v>
      </c>
      <c r="D5" s="8">
        <f t="shared" si="5"/>
        <v>2236</v>
      </c>
      <c r="E5" s="8">
        <f t="shared" si="5"/>
        <v>2185</v>
      </c>
      <c r="F5" s="8">
        <f t="shared" si="5"/>
        <v>2593</v>
      </c>
      <c r="G5" s="8">
        <f t="shared" si="5"/>
        <v>1805</v>
      </c>
      <c r="H5" s="8">
        <f t="shared" si="5"/>
        <v>1860</v>
      </c>
      <c r="I5" s="8">
        <f t="shared" si="5"/>
        <v>2019</v>
      </c>
      <c r="J5" s="8">
        <f t="shared" si="5"/>
        <v>2761</v>
      </c>
      <c r="K5" s="8">
        <f t="shared" si="5"/>
        <v>1580</v>
      </c>
      <c r="L5" s="8">
        <f t="shared" si="5"/>
        <v>2065</v>
      </c>
      <c r="M5" s="8">
        <f t="shared" si="5"/>
        <v>1969</v>
      </c>
      <c r="N5" s="8">
        <f t="shared" si="5"/>
        <v>2712</v>
      </c>
      <c r="O5" s="8">
        <f t="shared" si="5"/>
        <v>1778</v>
      </c>
      <c r="P5" s="8">
        <f t="shared" si="5"/>
        <v>2006</v>
      </c>
      <c r="Q5" s="8">
        <f t="shared" si="5"/>
        <v>1977</v>
      </c>
      <c r="R5" s="8">
        <f t="shared" si="5"/>
        <v>2573</v>
      </c>
      <c r="S5" s="8">
        <f t="shared" si="5"/>
        <v>1925</v>
      </c>
      <c r="T5" s="8">
        <f>T3*0.39</f>
        <v>2164.6092000000003</v>
      </c>
      <c r="U5" s="8">
        <f>U3*0.38</f>
        <v>2152.5403999999999</v>
      </c>
      <c r="V5" s="8">
        <f>V3*0.4</f>
        <v>2784.8320000000003</v>
      </c>
      <c r="X5" s="8">
        <f>X3-X4</f>
        <v>9140</v>
      </c>
      <c r="Y5" s="8">
        <f>Y3-Y4</f>
        <v>8445</v>
      </c>
      <c r="Z5" s="8">
        <f>Z3-Z4</f>
        <v>8326</v>
      </c>
      <c r="AA5" s="8">
        <f>AA3-AA4</f>
        <v>8334</v>
      </c>
      <c r="AB5" s="8">
        <f>AB3-AB4</f>
        <v>9026.9816000000028</v>
      </c>
      <c r="AC5" s="8">
        <f>AC3*0.39</f>
        <v>9431.3924640000023</v>
      </c>
      <c r="AD5" s="8">
        <f t="shared" ref="AD5:AL5" si="6">AD3*0.39</f>
        <v>9714.3342379200021</v>
      </c>
      <c r="AE5" s="8">
        <f t="shared" si="6"/>
        <v>10005.764265057604</v>
      </c>
      <c r="AF5" s="8">
        <f t="shared" si="6"/>
        <v>10305.937193009331</v>
      </c>
      <c r="AG5" s="8">
        <f t="shared" si="6"/>
        <v>10512.055936869518</v>
      </c>
      <c r="AH5" s="8">
        <f t="shared" si="6"/>
        <v>10722.297055606909</v>
      </c>
      <c r="AI5" s="8">
        <f t="shared" si="6"/>
        <v>10936.742996719049</v>
      </c>
      <c r="AJ5" s="8">
        <f t="shared" si="6"/>
        <v>11046.110426686238</v>
      </c>
      <c r="AK5" s="8">
        <f t="shared" si="6"/>
        <v>11156.571530953102</v>
      </c>
      <c r="AL5" s="8">
        <f t="shared" si="6"/>
        <v>11268.137246262633</v>
      </c>
    </row>
    <row r="6" spans="2:147" x14ac:dyDescent="0.3">
      <c r="B6" t="s">
        <v>26</v>
      </c>
      <c r="C6" s="5">
        <v>1265</v>
      </c>
      <c r="D6" s="5">
        <v>1214</v>
      </c>
      <c r="E6" s="5">
        <v>1212</v>
      </c>
      <c r="F6" s="5">
        <v>1226</v>
      </c>
      <c r="G6" s="5">
        <v>1167</v>
      </c>
      <c r="H6" s="5">
        <v>1165</v>
      </c>
      <c r="I6" s="5">
        <v>1123</v>
      </c>
      <c r="J6" s="5">
        <v>1165</v>
      </c>
      <c r="K6" s="5">
        <v>1156</v>
      </c>
      <c r="L6" s="5">
        <v>1126</v>
      </c>
      <c r="M6" s="5">
        <v>1060</v>
      </c>
      <c r="N6" s="5">
        <v>1069</v>
      </c>
      <c r="O6" s="5">
        <v>987</v>
      </c>
      <c r="P6" s="5">
        <v>969</v>
      </c>
      <c r="Q6" s="5">
        <v>895</v>
      </c>
      <c r="R6" s="5">
        <v>1145</v>
      </c>
      <c r="S6" s="5">
        <v>996</v>
      </c>
      <c r="T6" s="5">
        <f>P6*1.02</f>
        <v>988.38</v>
      </c>
      <c r="U6" s="5">
        <f>Q6*1.07</f>
        <v>957.65000000000009</v>
      </c>
      <c r="V6" s="5">
        <f>R6*1.03</f>
        <v>1179.3500000000001</v>
      </c>
      <c r="X6" s="13">
        <f>SUM(C6:F6)</f>
        <v>4917</v>
      </c>
      <c r="Y6" s="13">
        <f>SUM(G6:J6)</f>
        <v>4620</v>
      </c>
      <c r="Z6" s="13">
        <f>SUM(K6:N6)</f>
        <v>4411</v>
      </c>
      <c r="AA6" s="13">
        <f>SUM(O6:R6)</f>
        <v>3996</v>
      </c>
      <c r="AB6" s="13">
        <f>SUM(S6:V6)</f>
        <v>4121.38</v>
      </c>
      <c r="AC6" s="5">
        <f>AB6*1.03</f>
        <v>4245.0214000000005</v>
      </c>
      <c r="AD6" s="5">
        <f t="shared" ref="AD6:AF7" si="7">AC6*1.02</f>
        <v>4329.9218280000005</v>
      </c>
      <c r="AE6" s="5">
        <f t="shared" si="7"/>
        <v>4416.5202645600002</v>
      </c>
      <c r="AF6" s="5">
        <f t="shared" si="7"/>
        <v>4504.8506698512001</v>
      </c>
      <c r="AG6" s="5">
        <f t="shared" ref="AG6:AL6" si="8">AF6*1.01</f>
        <v>4549.8991765497121</v>
      </c>
      <c r="AH6" s="5">
        <f t="shared" si="8"/>
        <v>4595.3981683152097</v>
      </c>
      <c r="AI6" s="5">
        <f t="shared" si="8"/>
        <v>4641.3521499983617</v>
      </c>
      <c r="AJ6" s="5">
        <f t="shared" si="8"/>
        <v>4687.765671498345</v>
      </c>
      <c r="AK6" s="5">
        <f t="shared" si="8"/>
        <v>4734.6433282133285</v>
      </c>
      <c r="AL6" s="5">
        <f t="shared" si="8"/>
        <v>4781.9897614954616</v>
      </c>
    </row>
    <row r="7" spans="2:147" x14ac:dyDescent="0.3">
      <c r="B7" t="s">
        <v>27</v>
      </c>
      <c r="C7" s="5">
        <v>919</v>
      </c>
      <c r="D7" s="5">
        <v>906</v>
      </c>
      <c r="E7" s="5">
        <v>860</v>
      </c>
      <c r="F7" s="5">
        <v>930</v>
      </c>
      <c r="G7" s="5">
        <v>847</v>
      </c>
      <c r="H7" s="5">
        <v>813</v>
      </c>
      <c r="I7" s="5">
        <v>870</v>
      </c>
      <c r="J7" s="5">
        <v>933</v>
      </c>
      <c r="K7" s="5">
        <v>821</v>
      </c>
      <c r="L7" s="5">
        <v>763</v>
      </c>
      <c r="M7" s="5">
        <v>739</v>
      </c>
      <c r="N7" s="5">
        <v>774</v>
      </c>
      <c r="O7" s="5">
        <v>762</v>
      </c>
      <c r="P7" s="5">
        <v>680</v>
      </c>
      <c r="Q7" s="5">
        <v>644</v>
      </c>
      <c r="R7" s="5">
        <v>777</v>
      </c>
      <c r="S7" s="5">
        <v>649</v>
      </c>
      <c r="T7" s="5">
        <f>P7*1.05</f>
        <v>714</v>
      </c>
      <c r="U7" s="5">
        <f>Q7*1.07</f>
        <v>689.08</v>
      </c>
      <c r="V7" s="5">
        <f>R7*1.05</f>
        <v>815.85</v>
      </c>
      <c r="X7" s="13">
        <f>SUM(C7:F7)</f>
        <v>3615</v>
      </c>
      <c r="Y7" s="13">
        <f>SUM(G7:J7)</f>
        <v>3463</v>
      </c>
      <c r="Z7" s="13">
        <f>SUM(K7:N7)</f>
        <v>3097</v>
      </c>
      <c r="AA7" s="13">
        <f>SUM(O7:R7)</f>
        <v>2863</v>
      </c>
      <c r="AB7" s="13">
        <f>SUM(S7:V7)</f>
        <v>2867.93</v>
      </c>
      <c r="AC7" s="5">
        <f>AB7*1.02</f>
        <v>2925.2885999999999</v>
      </c>
      <c r="AD7" s="5">
        <f t="shared" si="7"/>
        <v>2983.7943719999998</v>
      </c>
      <c r="AE7" s="5">
        <f t="shared" si="7"/>
        <v>3043.4702594400001</v>
      </c>
      <c r="AF7" s="5">
        <f t="shared" si="7"/>
        <v>3104.3396646288002</v>
      </c>
      <c r="AG7" s="5">
        <f t="shared" ref="AG7:AL7" si="9">AF7*1.01</f>
        <v>3135.383061275088</v>
      </c>
      <c r="AH7" s="5">
        <f t="shared" si="9"/>
        <v>3166.7368918878387</v>
      </c>
      <c r="AI7" s="5">
        <f t="shared" si="9"/>
        <v>3198.404260806717</v>
      </c>
      <c r="AJ7" s="5">
        <f t="shared" si="9"/>
        <v>3230.3883034147843</v>
      </c>
      <c r="AK7" s="5">
        <f t="shared" si="9"/>
        <v>3262.6921864489323</v>
      </c>
      <c r="AL7" s="5">
        <f t="shared" si="9"/>
        <v>3295.3191083134216</v>
      </c>
    </row>
    <row r="8" spans="2:147" x14ac:dyDescent="0.3">
      <c r="B8" t="s">
        <v>28</v>
      </c>
      <c r="C8" s="5">
        <v>69</v>
      </c>
      <c r="D8" s="5">
        <v>162</v>
      </c>
      <c r="E8" s="5">
        <v>343</v>
      </c>
      <c r="F8" s="5">
        <v>18</v>
      </c>
      <c r="G8" s="5">
        <v>127</v>
      </c>
      <c r="H8" s="5">
        <v>103</v>
      </c>
      <c r="I8" s="5">
        <v>80</v>
      </c>
      <c r="J8" s="5">
        <v>111</v>
      </c>
      <c r="K8" s="5">
        <v>124</v>
      </c>
      <c r="L8" s="5">
        <v>234</v>
      </c>
      <c r="M8" s="5">
        <v>-95</v>
      </c>
      <c r="N8" s="5">
        <v>66</v>
      </c>
      <c r="O8" s="5">
        <v>106</v>
      </c>
      <c r="P8" s="5">
        <v>187</v>
      </c>
      <c r="Q8" s="5">
        <v>87</v>
      </c>
      <c r="R8" s="5">
        <v>177</v>
      </c>
      <c r="S8" s="5">
        <v>-151</v>
      </c>
      <c r="T8" s="5">
        <f t="shared" ref="T8:V8" si="10">P8*1.02</f>
        <v>190.74</v>
      </c>
      <c r="U8" s="5">
        <f t="shared" si="10"/>
        <v>88.74</v>
      </c>
      <c r="V8" s="5">
        <f t="shared" si="10"/>
        <v>180.54</v>
      </c>
      <c r="X8" s="13">
        <f>SUM(C8:F8)</f>
        <v>592</v>
      </c>
      <c r="Y8" s="13">
        <f>SUM(G8:J8)</f>
        <v>421</v>
      </c>
      <c r="Z8" s="13">
        <f>SUM(K8:N8)</f>
        <v>329</v>
      </c>
      <c r="AA8" s="13">
        <f>SUM(O8:R8)</f>
        <v>557</v>
      </c>
      <c r="AB8" s="13">
        <f>SUM(S8:V8)</f>
        <v>309.02</v>
      </c>
      <c r="AC8" s="5">
        <f t="shared" ref="AC8:AL8" si="11">AB8*0.98</f>
        <v>302.83959999999996</v>
      </c>
      <c r="AD8" s="5">
        <f t="shared" si="11"/>
        <v>296.78280799999993</v>
      </c>
      <c r="AE8" s="5">
        <f t="shared" si="11"/>
        <v>290.84715183999992</v>
      </c>
      <c r="AF8" s="5">
        <f t="shared" si="11"/>
        <v>285.03020880319991</v>
      </c>
      <c r="AG8" s="5">
        <f t="shared" si="11"/>
        <v>279.32960462713589</v>
      </c>
      <c r="AH8" s="5">
        <f t="shared" si="11"/>
        <v>273.74301253459316</v>
      </c>
      <c r="AI8" s="5">
        <f t="shared" si="11"/>
        <v>268.26815228390132</v>
      </c>
      <c r="AJ8" s="5">
        <f t="shared" si="11"/>
        <v>262.90278923822331</v>
      </c>
      <c r="AK8" s="5">
        <f t="shared" si="11"/>
        <v>257.64473345345885</v>
      </c>
      <c r="AL8" s="5">
        <f t="shared" si="11"/>
        <v>252.49183878438967</v>
      </c>
    </row>
    <row r="9" spans="2:147" s="1" customFormat="1" x14ac:dyDescent="0.3">
      <c r="B9" s="1" t="s">
        <v>29</v>
      </c>
      <c r="C9" s="8">
        <f t="shared" ref="C9:V9" si="12">C5-C6-C7-C8</f>
        <v>-127</v>
      </c>
      <c r="D9" s="8">
        <f t="shared" si="12"/>
        <v>-46</v>
      </c>
      <c r="E9" s="8">
        <f t="shared" si="12"/>
        <v>-230</v>
      </c>
      <c r="F9" s="8">
        <f t="shared" si="12"/>
        <v>419</v>
      </c>
      <c r="G9" s="8">
        <f t="shared" si="12"/>
        <v>-336</v>
      </c>
      <c r="H9" s="8">
        <f t="shared" si="12"/>
        <v>-221</v>
      </c>
      <c r="I9" s="8">
        <f t="shared" si="12"/>
        <v>-54</v>
      </c>
      <c r="J9" s="8">
        <f t="shared" si="12"/>
        <v>552</v>
      </c>
      <c r="K9" s="8">
        <f t="shared" si="12"/>
        <v>-521</v>
      </c>
      <c r="L9" s="8">
        <f t="shared" si="12"/>
        <v>-58</v>
      </c>
      <c r="M9" s="8">
        <f t="shared" si="12"/>
        <v>265</v>
      </c>
      <c r="N9" s="8">
        <f t="shared" si="12"/>
        <v>803</v>
      </c>
      <c r="O9" s="8">
        <f t="shared" si="12"/>
        <v>-77</v>
      </c>
      <c r="P9" s="8">
        <f t="shared" si="12"/>
        <v>170</v>
      </c>
      <c r="Q9" s="8">
        <f t="shared" si="12"/>
        <v>351</v>
      </c>
      <c r="R9" s="8">
        <f t="shared" si="12"/>
        <v>474</v>
      </c>
      <c r="S9" s="8">
        <f t="shared" si="12"/>
        <v>431</v>
      </c>
      <c r="T9" s="8">
        <f t="shared" si="12"/>
        <v>271.48920000000021</v>
      </c>
      <c r="U9" s="8">
        <f t="shared" si="12"/>
        <v>417.07039999999972</v>
      </c>
      <c r="V9" s="8">
        <f t="shared" si="12"/>
        <v>609.09200000000021</v>
      </c>
      <c r="X9" s="8">
        <f>X5-X6-X7-X8</f>
        <v>16</v>
      </c>
      <c r="Y9" s="8">
        <f>Y5-Y6-Y7-Y8</f>
        <v>-59</v>
      </c>
      <c r="Z9" s="8">
        <f>Z5-Z6-Z7-Z8</f>
        <v>489</v>
      </c>
      <c r="AA9" s="8">
        <f>AA5-AA6-AA7-AA8</f>
        <v>918</v>
      </c>
      <c r="AB9" s="8">
        <f t="shared" ref="AB9:AK9" si="13">AB5-AB6-AB7-AB8</f>
        <v>1728.6516000000029</v>
      </c>
      <c r="AC9" s="8">
        <f t="shared" si="13"/>
        <v>1958.2428640000019</v>
      </c>
      <c r="AD9" s="8">
        <f t="shared" si="13"/>
        <v>2103.8352299200019</v>
      </c>
      <c r="AE9" s="8">
        <f t="shared" si="13"/>
        <v>2254.9265892176036</v>
      </c>
      <c r="AF9" s="8">
        <f t="shared" si="13"/>
        <v>2411.716649726131</v>
      </c>
      <c r="AG9" s="8">
        <f t="shared" si="13"/>
        <v>2547.4440944175817</v>
      </c>
      <c r="AH9" s="8">
        <f t="shared" si="13"/>
        <v>2686.418982869267</v>
      </c>
      <c r="AI9" s="8">
        <f t="shared" si="13"/>
        <v>2828.7184336300693</v>
      </c>
      <c r="AJ9" s="8">
        <f t="shared" si="13"/>
        <v>2865.0536625348859</v>
      </c>
      <c r="AK9" s="8">
        <f t="shared" si="13"/>
        <v>2901.591282837383</v>
      </c>
      <c r="AL9" s="8">
        <f t="shared" ref="AL9" si="14">AL5-AL6-AL7-AL8</f>
        <v>2938.3365376693605</v>
      </c>
    </row>
    <row r="10" spans="2:147" x14ac:dyDescent="0.3">
      <c r="B10" t="s">
        <v>30</v>
      </c>
      <c r="C10" s="5">
        <v>9</v>
      </c>
      <c r="D10" s="5">
        <v>-3</v>
      </c>
      <c r="E10" s="5">
        <v>-1</v>
      </c>
      <c r="F10" s="5">
        <v>-17</v>
      </c>
      <c r="G10" s="5">
        <v>4</v>
      </c>
      <c r="H10" s="5">
        <v>4</v>
      </c>
      <c r="I10" s="5">
        <v>-2</v>
      </c>
      <c r="J10" s="5">
        <v>-18</v>
      </c>
      <c r="K10" s="5">
        <v>5</v>
      </c>
      <c r="L10" s="5">
        <v>6</v>
      </c>
      <c r="M10" s="5">
        <v>-3</v>
      </c>
      <c r="N10" s="5">
        <v>-21</v>
      </c>
      <c r="O10" s="5">
        <v>4</v>
      </c>
      <c r="P10" s="5">
        <v>-6</v>
      </c>
      <c r="Q10" s="5">
        <v>0</v>
      </c>
      <c r="R10" s="5">
        <v>-20</v>
      </c>
      <c r="S10" s="5">
        <v>4</v>
      </c>
      <c r="T10" s="5">
        <f t="shared" ref="T10:V10" si="15">P10*1.02</f>
        <v>-6.12</v>
      </c>
      <c r="U10" s="5">
        <f t="shared" si="15"/>
        <v>0</v>
      </c>
      <c r="V10" s="5">
        <f t="shared" si="15"/>
        <v>-20.399999999999999</v>
      </c>
      <c r="X10" s="13">
        <f>SUM(C10:F10)</f>
        <v>-12</v>
      </c>
      <c r="Y10" s="13">
        <f>SUM(G10:J10)</f>
        <v>-12</v>
      </c>
      <c r="Z10" s="13">
        <f>SUM(K10:N10)</f>
        <v>-13</v>
      </c>
      <c r="AA10" s="13">
        <f>SUM(O10:R10)</f>
        <v>-22</v>
      </c>
      <c r="AB10" s="13">
        <f>SUM(S10:V10)</f>
        <v>-22.52</v>
      </c>
      <c r="AC10" s="5">
        <v>0</v>
      </c>
      <c r="AD10" s="5">
        <v>0</v>
      </c>
      <c r="AE10" s="5">
        <v>0</v>
      </c>
      <c r="AF10" s="5">
        <v>0</v>
      </c>
      <c r="AG10" s="5">
        <v>0</v>
      </c>
      <c r="AH10" s="5">
        <v>0</v>
      </c>
      <c r="AI10" s="5">
        <v>0</v>
      </c>
      <c r="AJ10" s="5">
        <v>0</v>
      </c>
      <c r="AK10" s="5">
        <v>0</v>
      </c>
      <c r="AL10" s="5">
        <v>0</v>
      </c>
    </row>
    <row r="11" spans="2:147" x14ac:dyDescent="0.3">
      <c r="B11" t="s">
        <v>31</v>
      </c>
      <c r="C11" s="5">
        <v>146</v>
      </c>
      <c r="D11" s="5">
        <v>287</v>
      </c>
      <c r="E11" s="5">
        <v>63</v>
      </c>
      <c r="F11" s="5">
        <v>41</v>
      </c>
      <c r="G11" s="5">
        <v>108</v>
      </c>
      <c r="H11" s="5">
        <v>56</v>
      </c>
      <c r="I11" s="5">
        <v>60</v>
      </c>
      <c r="J11" s="5">
        <v>89</v>
      </c>
      <c r="K11" s="5">
        <v>55</v>
      </c>
      <c r="L11" s="5">
        <v>173</v>
      </c>
      <c r="M11" s="5">
        <v>98</v>
      </c>
      <c r="N11" s="5">
        <v>15</v>
      </c>
      <c r="O11" s="5">
        <v>50</v>
      </c>
      <c r="P11" s="5">
        <v>11</v>
      </c>
      <c r="Q11" s="5">
        <v>73</v>
      </c>
      <c r="R11" s="5">
        <v>-29</v>
      </c>
      <c r="S11" s="5">
        <v>56</v>
      </c>
      <c r="T11" s="5">
        <v>30</v>
      </c>
      <c r="U11" s="5">
        <v>30</v>
      </c>
      <c r="V11" s="5">
        <v>30</v>
      </c>
      <c r="X11" s="13">
        <f>SUM(C11:F11)</f>
        <v>537</v>
      </c>
      <c r="Y11" s="13">
        <f>SUM(G11:J11)</f>
        <v>313</v>
      </c>
      <c r="Z11" s="13">
        <f>SUM(K11:N11)</f>
        <v>341</v>
      </c>
      <c r="AA11" s="13">
        <f>SUM(O11:R11)</f>
        <v>105</v>
      </c>
      <c r="AB11" s="13">
        <f>SUM(S11:V11)</f>
        <v>146</v>
      </c>
      <c r="AC11" s="5">
        <f t="shared" ref="AC11:AL11" si="16">AB11*0.8</f>
        <v>116.80000000000001</v>
      </c>
      <c r="AD11" s="5">
        <f t="shared" si="16"/>
        <v>93.440000000000012</v>
      </c>
      <c r="AE11" s="5">
        <f t="shared" si="16"/>
        <v>74.75200000000001</v>
      </c>
      <c r="AF11" s="5">
        <f t="shared" si="16"/>
        <v>59.801600000000008</v>
      </c>
      <c r="AG11" s="5">
        <f t="shared" si="16"/>
        <v>47.841280000000012</v>
      </c>
      <c r="AH11" s="5">
        <f t="shared" si="16"/>
        <v>38.273024000000014</v>
      </c>
      <c r="AI11" s="5">
        <f t="shared" si="16"/>
        <v>30.618419200000012</v>
      </c>
      <c r="AJ11" s="5">
        <f t="shared" si="16"/>
        <v>24.494735360000011</v>
      </c>
      <c r="AK11" s="5">
        <f t="shared" si="16"/>
        <v>19.595788288000008</v>
      </c>
      <c r="AL11" s="5">
        <f t="shared" si="16"/>
        <v>15.676630630400007</v>
      </c>
    </row>
    <row r="12" spans="2:147" s="1" customFormat="1" x14ac:dyDescent="0.3">
      <c r="B12" s="1" t="s">
        <v>32</v>
      </c>
      <c r="C12" s="8">
        <f t="shared" ref="C12:V12" si="17">C9-C10-C11</f>
        <v>-282</v>
      </c>
      <c r="D12" s="8">
        <f t="shared" si="17"/>
        <v>-330</v>
      </c>
      <c r="E12" s="8">
        <f t="shared" si="17"/>
        <v>-292</v>
      </c>
      <c r="F12" s="8">
        <f t="shared" si="17"/>
        <v>395</v>
      </c>
      <c r="G12" s="8">
        <f t="shared" si="17"/>
        <v>-448</v>
      </c>
      <c r="H12" s="8">
        <f t="shared" si="17"/>
        <v>-281</v>
      </c>
      <c r="I12" s="8">
        <f t="shared" si="17"/>
        <v>-112</v>
      </c>
      <c r="J12" s="8">
        <f t="shared" si="17"/>
        <v>481</v>
      </c>
      <c r="K12" s="8">
        <f t="shared" si="17"/>
        <v>-581</v>
      </c>
      <c r="L12" s="8">
        <f t="shared" si="17"/>
        <v>-237</v>
      </c>
      <c r="M12" s="8">
        <f t="shared" si="17"/>
        <v>170</v>
      </c>
      <c r="N12" s="8">
        <f t="shared" si="17"/>
        <v>809</v>
      </c>
      <c r="O12" s="8">
        <f t="shared" si="17"/>
        <v>-131</v>
      </c>
      <c r="P12" s="8">
        <f t="shared" si="17"/>
        <v>165</v>
      </c>
      <c r="Q12" s="8">
        <f t="shared" si="17"/>
        <v>278</v>
      </c>
      <c r="R12" s="8">
        <f t="shared" si="17"/>
        <v>523</v>
      </c>
      <c r="S12" s="8">
        <f t="shared" si="17"/>
        <v>371</v>
      </c>
      <c r="T12" s="8">
        <f t="shared" si="17"/>
        <v>247.60920000000021</v>
      </c>
      <c r="U12" s="8">
        <f t="shared" si="17"/>
        <v>387.07039999999972</v>
      </c>
      <c r="V12" s="8">
        <f t="shared" si="17"/>
        <v>599.49200000000019</v>
      </c>
      <c r="X12" s="8">
        <f>X9-X10-X11</f>
        <v>-509</v>
      </c>
      <c r="Y12" s="8">
        <f>Y9-Y10-Y11</f>
        <v>-360</v>
      </c>
      <c r="Z12" s="8">
        <f>Z9-Z10-Z11</f>
        <v>161</v>
      </c>
      <c r="AA12" s="8">
        <f>AA9-AA10-AA11</f>
        <v>835</v>
      </c>
      <c r="AB12" s="8">
        <f t="shared" ref="AB12:AK12" si="18">AB9-AB10-AB11</f>
        <v>1605.1716000000029</v>
      </c>
      <c r="AC12" s="8">
        <f t="shared" si="18"/>
        <v>1841.4428640000019</v>
      </c>
      <c r="AD12" s="8">
        <f t="shared" si="18"/>
        <v>2010.3952299200018</v>
      </c>
      <c r="AE12" s="8">
        <f t="shared" si="18"/>
        <v>2180.1745892176036</v>
      </c>
      <c r="AF12" s="8">
        <f t="shared" si="18"/>
        <v>2351.9150497261307</v>
      </c>
      <c r="AG12" s="8">
        <f t="shared" si="18"/>
        <v>2499.6028144175816</v>
      </c>
      <c r="AH12" s="8">
        <f t="shared" si="18"/>
        <v>2648.1459588692669</v>
      </c>
      <c r="AI12" s="8">
        <f t="shared" si="18"/>
        <v>2798.1000144300692</v>
      </c>
      <c r="AJ12" s="8">
        <f t="shared" si="18"/>
        <v>2840.5589271748859</v>
      </c>
      <c r="AK12" s="8">
        <f t="shared" si="18"/>
        <v>2881.9954945493828</v>
      </c>
      <c r="AL12" s="8">
        <f t="shared" ref="AL12" si="19">AL9-AL10-AL11</f>
        <v>2922.6599070389607</v>
      </c>
    </row>
    <row r="13" spans="2:147" x14ac:dyDescent="0.3">
      <c r="B13" t="s">
        <v>33</v>
      </c>
      <c r="C13" s="5">
        <v>154</v>
      </c>
      <c r="D13" s="5">
        <v>103</v>
      </c>
      <c r="E13" s="5">
        <v>-102</v>
      </c>
      <c r="F13" s="5">
        <v>772</v>
      </c>
      <c r="G13" s="5">
        <v>-94</v>
      </c>
      <c r="H13" s="5">
        <v>-10</v>
      </c>
      <c r="I13" s="5">
        <v>15</v>
      </c>
      <c r="J13" s="5">
        <v>278</v>
      </c>
      <c r="K13" s="5">
        <v>-142</v>
      </c>
      <c r="L13" s="5">
        <v>-46</v>
      </c>
      <c r="M13" s="5">
        <v>80</v>
      </c>
      <c r="N13" s="5">
        <v>246</v>
      </c>
      <c r="O13" s="5">
        <v>-30</v>
      </c>
      <c r="P13" s="5">
        <v>80</v>
      </c>
      <c r="Q13" s="5">
        <v>74</v>
      </c>
      <c r="R13" s="5">
        <f>2900+231</f>
        <v>3131</v>
      </c>
      <c r="S13" s="5">
        <v>99</v>
      </c>
      <c r="T13" s="5">
        <f>T12*0.3</f>
        <v>74.282760000000067</v>
      </c>
      <c r="U13" s="5">
        <f t="shared" ref="U13:V13" si="20">U12*0.3</f>
        <v>116.12111999999991</v>
      </c>
      <c r="V13" s="5">
        <f t="shared" si="20"/>
        <v>179.84760000000006</v>
      </c>
      <c r="X13" s="13">
        <f>SUM(C13:F13)</f>
        <v>927</v>
      </c>
      <c r="Y13" s="13">
        <f>SUM(G13:J13)</f>
        <v>189</v>
      </c>
      <c r="Z13" s="13">
        <f>SUM(K13:N13)</f>
        <v>138</v>
      </c>
      <c r="AA13" s="13">
        <f>SUM(O13:R13)</f>
        <v>3255</v>
      </c>
      <c r="AB13" s="13">
        <f>SUM(S13:V13)</f>
        <v>469.25148000000002</v>
      </c>
      <c r="AC13" s="5">
        <f>AC12*0.3</f>
        <v>552.43285920000051</v>
      </c>
      <c r="AD13" s="5">
        <f t="shared" ref="AD13:AL13" si="21">AD12*0.3</f>
        <v>603.11856897600057</v>
      </c>
      <c r="AE13" s="5">
        <f t="shared" si="21"/>
        <v>654.05237676528111</v>
      </c>
      <c r="AF13" s="5">
        <f t="shared" si="21"/>
        <v>705.57451491783922</v>
      </c>
      <c r="AG13" s="5">
        <f t="shared" si="21"/>
        <v>749.88084432527444</v>
      </c>
      <c r="AH13" s="5">
        <f t="shared" si="21"/>
        <v>794.44378766078</v>
      </c>
      <c r="AI13" s="5">
        <f t="shared" si="21"/>
        <v>839.43000432902079</v>
      </c>
      <c r="AJ13" s="5">
        <f t="shared" si="21"/>
        <v>852.16767815246578</v>
      </c>
      <c r="AK13" s="5">
        <f t="shared" si="21"/>
        <v>864.59864836481484</v>
      </c>
      <c r="AL13" s="5">
        <f t="shared" si="21"/>
        <v>876.79797211168818</v>
      </c>
    </row>
    <row r="14" spans="2:147" x14ac:dyDescent="0.3">
      <c r="B14" t="s">
        <v>36</v>
      </c>
      <c r="C14" s="5">
        <f>37+15</f>
        <v>52</v>
      </c>
      <c r="D14" s="5">
        <f>-9+14</f>
        <v>5</v>
      </c>
      <c r="E14" s="5">
        <f>-9+2</f>
        <v>-7</v>
      </c>
      <c r="F14" s="5">
        <f>6+2</f>
        <v>8</v>
      </c>
      <c r="G14" s="5">
        <f>-3-163</f>
        <v>-166</v>
      </c>
      <c r="H14" s="5">
        <v>-4</v>
      </c>
      <c r="I14" s="5">
        <v>-48</v>
      </c>
      <c r="J14" s="5">
        <f>13-2</f>
        <v>11</v>
      </c>
      <c r="K14" s="5">
        <v>6</v>
      </c>
      <c r="L14" s="5">
        <f>3-1</f>
        <v>2</v>
      </c>
      <c r="M14" s="5">
        <f>2+3</f>
        <v>5</v>
      </c>
      <c r="N14" s="5">
        <v>0</v>
      </c>
      <c r="O14" s="5">
        <f>15+1</f>
        <v>16</v>
      </c>
      <c r="P14" s="5">
        <f>-14+5</f>
        <v>-9</v>
      </c>
      <c r="Q14" s="5">
        <f>6+4</f>
        <v>10</v>
      </c>
      <c r="R14" s="5">
        <v>-8</v>
      </c>
      <c r="S14" s="5">
        <v>-9</v>
      </c>
      <c r="T14" s="5">
        <v>10</v>
      </c>
      <c r="U14" s="5">
        <v>10</v>
      </c>
      <c r="V14" s="5">
        <v>10</v>
      </c>
      <c r="X14" s="13">
        <f>SUM(C14:F14)</f>
        <v>58</v>
      </c>
      <c r="Y14" s="13">
        <f>SUM(G14:J14)</f>
        <v>-207</v>
      </c>
      <c r="Z14" s="13">
        <f>SUM(K14:N14)</f>
        <v>13</v>
      </c>
      <c r="AA14" s="13">
        <f>SUM(O14:R14)</f>
        <v>9</v>
      </c>
      <c r="AB14" s="13">
        <f>SUM(S14:V14)</f>
        <v>21</v>
      </c>
      <c r="AC14" s="5">
        <f>AB14*1.02</f>
        <v>21.42</v>
      </c>
      <c r="AD14" s="5">
        <f t="shared" ref="AD14:AL14" si="22">AC14*1.02</f>
        <v>21.848400000000002</v>
      </c>
      <c r="AE14" s="5">
        <f t="shared" si="22"/>
        <v>22.285368000000002</v>
      </c>
      <c r="AF14" s="5">
        <f t="shared" si="22"/>
        <v>22.731075360000002</v>
      </c>
      <c r="AG14" s="5">
        <f t="shared" si="22"/>
        <v>23.185696867200001</v>
      </c>
      <c r="AH14" s="5">
        <f t="shared" si="22"/>
        <v>23.649410804544001</v>
      </c>
      <c r="AI14" s="5">
        <f t="shared" si="22"/>
        <v>24.12239902063488</v>
      </c>
      <c r="AJ14" s="5">
        <f t="shared" si="22"/>
        <v>24.604847001047577</v>
      </c>
      <c r="AK14" s="5">
        <f t="shared" si="22"/>
        <v>25.096943941068531</v>
      </c>
      <c r="AL14" s="5">
        <f t="shared" si="22"/>
        <v>25.598882819889901</v>
      </c>
    </row>
    <row r="15" spans="2:147" s="1" customFormat="1" x14ac:dyDescent="0.3">
      <c r="B15" s="1" t="s">
        <v>34</v>
      </c>
      <c r="C15" s="8">
        <f t="shared" ref="C15:R15" si="23">C12-C13-C14</f>
        <v>-488</v>
      </c>
      <c r="D15" s="8">
        <f t="shared" si="23"/>
        <v>-438</v>
      </c>
      <c r="E15" s="8">
        <f t="shared" si="23"/>
        <v>-183</v>
      </c>
      <c r="F15" s="8">
        <f t="shared" si="23"/>
        <v>-385</v>
      </c>
      <c r="G15" s="8">
        <f t="shared" si="23"/>
        <v>-188</v>
      </c>
      <c r="H15" s="8">
        <f t="shared" si="23"/>
        <v>-267</v>
      </c>
      <c r="I15" s="8">
        <f t="shared" si="23"/>
        <v>-79</v>
      </c>
      <c r="J15" s="8">
        <f t="shared" si="23"/>
        <v>192</v>
      </c>
      <c r="K15" s="8">
        <f t="shared" si="23"/>
        <v>-445</v>
      </c>
      <c r="L15" s="8">
        <f t="shared" si="23"/>
        <v>-193</v>
      </c>
      <c r="M15" s="8">
        <f t="shared" si="23"/>
        <v>85</v>
      </c>
      <c r="N15" s="8">
        <f t="shared" si="23"/>
        <v>563</v>
      </c>
      <c r="O15" s="8">
        <f t="shared" si="23"/>
        <v>-117</v>
      </c>
      <c r="P15" s="8">
        <f t="shared" si="23"/>
        <v>94</v>
      </c>
      <c r="Q15" s="8">
        <f t="shared" si="23"/>
        <v>194</v>
      </c>
      <c r="R15" s="8">
        <f t="shared" si="23"/>
        <v>-2600</v>
      </c>
      <c r="S15" s="8">
        <f t="shared" ref="S15:V15" si="24">S12-S13-S14</f>
        <v>281</v>
      </c>
      <c r="T15" s="8">
        <f t="shared" si="24"/>
        <v>163.32644000000016</v>
      </c>
      <c r="U15" s="8">
        <f t="shared" si="24"/>
        <v>260.94927999999982</v>
      </c>
      <c r="V15" s="8">
        <f t="shared" si="24"/>
        <v>409.64440000000013</v>
      </c>
      <c r="X15" s="8">
        <f>X12-X13-X14</f>
        <v>-1494</v>
      </c>
      <c r="Y15" s="8">
        <f>Y12-Y13-Y14</f>
        <v>-342</v>
      </c>
      <c r="Z15" s="8">
        <f>Z12-Z13-Z14</f>
        <v>10</v>
      </c>
      <c r="AA15" s="8">
        <f>AA12-AA13-AA14</f>
        <v>-2429</v>
      </c>
      <c r="AB15" s="8">
        <f t="shared" ref="AB15:AK15" si="25">AB12-AB13-AB14</f>
        <v>1114.920120000003</v>
      </c>
      <c r="AC15" s="8">
        <f t="shared" si="25"/>
        <v>1267.5900048000012</v>
      </c>
      <c r="AD15" s="8">
        <f t="shared" si="25"/>
        <v>1385.4282609440013</v>
      </c>
      <c r="AE15" s="8">
        <f t="shared" si="25"/>
        <v>1503.8368444523223</v>
      </c>
      <c r="AF15" s="8">
        <f t="shared" si="25"/>
        <v>1623.6094594482915</v>
      </c>
      <c r="AG15" s="8">
        <f t="shared" si="25"/>
        <v>1726.5362732251072</v>
      </c>
      <c r="AH15" s="8">
        <f t="shared" si="25"/>
        <v>1830.052760403943</v>
      </c>
      <c r="AI15" s="8">
        <f t="shared" si="25"/>
        <v>1934.5476110804134</v>
      </c>
      <c r="AJ15" s="8">
        <f t="shared" si="25"/>
        <v>1963.7864020213726</v>
      </c>
      <c r="AK15" s="8">
        <f t="shared" si="25"/>
        <v>1992.2999022434994</v>
      </c>
      <c r="AL15" s="8">
        <f t="shared" ref="AL15" si="26">AL12-AL13-AL14</f>
        <v>2020.2630521073827</v>
      </c>
      <c r="AM15" s="1">
        <f t="shared" ref="AM15:BR15" si="27">AL15*(1+$AO$22)</f>
        <v>2000.0604215863088</v>
      </c>
      <c r="AN15" s="1">
        <f t="shared" si="27"/>
        <v>1980.0598173704457</v>
      </c>
      <c r="AO15" s="1">
        <f t="shared" si="27"/>
        <v>1960.2592191967412</v>
      </c>
      <c r="AP15" s="1">
        <f t="shared" si="27"/>
        <v>1940.6566270047738</v>
      </c>
      <c r="AQ15" s="1">
        <f t="shared" si="27"/>
        <v>1921.250060734726</v>
      </c>
      <c r="AR15" s="1">
        <f t="shared" si="27"/>
        <v>1902.0375601273788</v>
      </c>
      <c r="AS15" s="1">
        <f t="shared" si="27"/>
        <v>1883.017184526105</v>
      </c>
      <c r="AT15" s="1">
        <f t="shared" si="27"/>
        <v>1864.187012680844</v>
      </c>
      <c r="AU15" s="1">
        <f t="shared" si="27"/>
        <v>1845.5451425540355</v>
      </c>
      <c r="AV15" s="1">
        <f t="shared" si="27"/>
        <v>1827.0896911284951</v>
      </c>
      <c r="AW15" s="1">
        <f t="shared" si="27"/>
        <v>1808.8187942172101</v>
      </c>
      <c r="AX15" s="1">
        <f t="shared" si="27"/>
        <v>1790.7306062750379</v>
      </c>
      <c r="AY15" s="1">
        <f t="shared" si="27"/>
        <v>1772.8233002122874</v>
      </c>
      <c r="AZ15" s="1">
        <f t="shared" si="27"/>
        <v>1755.0950672101646</v>
      </c>
      <c r="BA15" s="1">
        <f t="shared" si="27"/>
        <v>1737.544116538063</v>
      </c>
      <c r="BB15" s="1">
        <f t="shared" si="27"/>
        <v>1720.1686753726824</v>
      </c>
      <c r="BC15" s="1">
        <f t="shared" si="27"/>
        <v>1702.9669886189556</v>
      </c>
      <c r="BD15" s="1">
        <f t="shared" si="27"/>
        <v>1685.937318732766</v>
      </c>
      <c r="BE15" s="1">
        <f t="shared" si="27"/>
        <v>1669.0779455454383</v>
      </c>
      <c r="BF15" s="1">
        <f t="shared" si="27"/>
        <v>1652.3871660899838</v>
      </c>
      <c r="BG15" s="1">
        <f t="shared" si="27"/>
        <v>1635.8632944290839</v>
      </c>
      <c r="BH15" s="1">
        <f t="shared" si="27"/>
        <v>1619.5046614847931</v>
      </c>
      <c r="BI15" s="1">
        <f t="shared" si="27"/>
        <v>1603.3096148699451</v>
      </c>
      <c r="BJ15" s="1">
        <f t="shared" si="27"/>
        <v>1587.2765187212456</v>
      </c>
      <c r="BK15" s="1">
        <f t="shared" si="27"/>
        <v>1571.4037535340331</v>
      </c>
      <c r="BL15" s="1">
        <f t="shared" si="27"/>
        <v>1555.6897159986927</v>
      </c>
      <c r="BM15" s="1">
        <f t="shared" si="27"/>
        <v>1540.1328188387058</v>
      </c>
      <c r="BN15" s="1">
        <f t="shared" si="27"/>
        <v>1524.7314906503188</v>
      </c>
      <c r="BO15" s="1">
        <f t="shared" si="27"/>
        <v>1509.4841757438157</v>
      </c>
      <c r="BP15" s="1">
        <f t="shared" si="27"/>
        <v>1494.3893339863776</v>
      </c>
      <c r="BQ15" s="1">
        <f t="shared" si="27"/>
        <v>1479.4454406465138</v>
      </c>
      <c r="BR15" s="1">
        <f t="shared" si="27"/>
        <v>1464.6509862400487</v>
      </c>
      <c r="BS15" s="1">
        <f t="shared" ref="BS15:CX15" si="28">BR15*(1+$AO$22)</f>
        <v>1450.0044763776482</v>
      </c>
      <c r="BT15" s="1">
        <f t="shared" si="28"/>
        <v>1435.5044316138717</v>
      </c>
      <c r="BU15" s="1">
        <f t="shared" si="28"/>
        <v>1421.149387297733</v>
      </c>
      <c r="BV15" s="1">
        <f t="shared" si="28"/>
        <v>1406.9378934247557</v>
      </c>
      <c r="BW15" s="1">
        <f t="shared" si="28"/>
        <v>1392.868514490508</v>
      </c>
      <c r="BX15" s="1">
        <f t="shared" si="28"/>
        <v>1378.9398293456029</v>
      </c>
      <c r="BY15" s="1">
        <f t="shared" si="28"/>
        <v>1365.1504310521468</v>
      </c>
      <c r="BZ15" s="1">
        <f t="shared" si="28"/>
        <v>1351.4989267416254</v>
      </c>
      <c r="CA15" s="1">
        <f t="shared" si="28"/>
        <v>1337.9839374742091</v>
      </c>
      <c r="CB15" s="1">
        <f t="shared" si="28"/>
        <v>1324.6040980994671</v>
      </c>
      <c r="CC15" s="1">
        <f t="shared" si="28"/>
        <v>1311.3580571184725</v>
      </c>
      <c r="CD15" s="1">
        <f t="shared" si="28"/>
        <v>1298.2444765472878</v>
      </c>
      <c r="CE15" s="1">
        <f t="shared" si="28"/>
        <v>1285.262031781815</v>
      </c>
      <c r="CF15" s="1">
        <f t="shared" si="28"/>
        <v>1272.4094114639968</v>
      </c>
      <c r="CG15" s="1">
        <f t="shared" si="28"/>
        <v>1259.6853173493569</v>
      </c>
      <c r="CH15" s="1">
        <f t="shared" si="28"/>
        <v>1247.0884641758632</v>
      </c>
      <c r="CI15" s="1">
        <f t="shared" si="28"/>
        <v>1234.6175795341046</v>
      </c>
      <c r="CJ15" s="1">
        <f t="shared" si="28"/>
        <v>1222.2714037387636</v>
      </c>
      <c r="CK15" s="1">
        <f t="shared" si="28"/>
        <v>1210.0486897013759</v>
      </c>
      <c r="CL15" s="1">
        <f t="shared" si="28"/>
        <v>1197.9482028043622</v>
      </c>
      <c r="CM15" s="1">
        <f t="shared" si="28"/>
        <v>1185.9687207763186</v>
      </c>
      <c r="CN15" s="1">
        <f t="shared" si="28"/>
        <v>1174.1090335685553</v>
      </c>
      <c r="CO15" s="1">
        <f t="shared" si="28"/>
        <v>1162.3679432328697</v>
      </c>
      <c r="CP15" s="1">
        <f t="shared" si="28"/>
        <v>1150.7442638005409</v>
      </c>
      <c r="CQ15" s="1">
        <f t="shared" si="28"/>
        <v>1139.2368211625355</v>
      </c>
      <c r="CR15" s="1">
        <f t="shared" si="28"/>
        <v>1127.8444529509102</v>
      </c>
      <c r="CS15" s="1">
        <f t="shared" si="28"/>
        <v>1116.566008421401</v>
      </c>
      <c r="CT15" s="1">
        <f t="shared" si="28"/>
        <v>1105.4003483371869</v>
      </c>
      <c r="CU15" s="1">
        <f t="shared" si="28"/>
        <v>1094.346344853815</v>
      </c>
      <c r="CV15" s="1">
        <f t="shared" si="28"/>
        <v>1083.402881405277</v>
      </c>
      <c r="CW15" s="1">
        <f t="shared" si="28"/>
        <v>1072.5688525912242</v>
      </c>
      <c r="CX15" s="1">
        <f t="shared" si="28"/>
        <v>1061.8431640653118</v>
      </c>
      <c r="CY15" s="1">
        <f t="shared" ref="CY15:ED15" si="29">CX15*(1+$AO$22)</f>
        <v>1051.2247324246587</v>
      </c>
      <c r="CZ15" s="1">
        <f t="shared" si="29"/>
        <v>1040.7124851004121</v>
      </c>
      <c r="DA15" s="1">
        <f t="shared" si="29"/>
        <v>1030.3053602494081</v>
      </c>
      <c r="DB15" s="1">
        <f t="shared" si="29"/>
        <v>1020.002306646914</v>
      </c>
      <c r="DC15" s="1">
        <f t="shared" si="29"/>
        <v>1009.8022835804449</v>
      </c>
      <c r="DD15" s="1">
        <f t="shared" si="29"/>
        <v>999.70426074464035</v>
      </c>
      <c r="DE15" s="1">
        <f t="shared" si="29"/>
        <v>989.70721813719399</v>
      </c>
      <c r="DF15" s="1">
        <f t="shared" si="29"/>
        <v>979.81014595582201</v>
      </c>
      <c r="DG15" s="1">
        <f t="shared" si="29"/>
        <v>970.0120444962638</v>
      </c>
      <c r="DH15" s="1">
        <f t="shared" si="29"/>
        <v>960.31192405130116</v>
      </c>
      <c r="DI15" s="1">
        <f t="shared" si="29"/>
        <v>950.70880481078814</v>
      </c>
      <c r="DJ15" s="1">
        <f t="shared" si="29"/>
        <v>941.20171676268023</v>
      </c>
      <c r="DK15" s="1">
        <f t="shared" si="29"/>
        <v>931.78969959505343</v>
      </c>
      <c r="DL15" s="1">
        <f t="shared" si="29"/>
        <v>922.47180259910294</v>
      </c>
      <c r="DM15" s="1">
        <f t="shared" si="29"/>
        <v>913.24708457311192</v>
      </c>
      <c r="DN15" s="1">
        <f t="shared" si="29"/>
        <v>904.11461372738074</v>
      </c>
      <c r="DO15" s="1">
        <f t="shared" si="29"/>
        <v>895.07346759010693</v>
      </c>
      <c r="DP15" s="1">
        <f t="shared" si="29"/>
        <v>886.12273291420581</v>
      </c>
      <c r="DQ15" s="1">
        <f t="shared" si="29"/>
        <v>877.26150558506379</v>
      </c>
      <c r="DR15" s="1">
        <f t="shared" si="29"/>
        <v>868.48889052921311</v>
      </c>
      <c r="DS15" s="1">
        <f t="shared" si="29"/>
        <v>859.80400162392095</v>
      </c>
      <c r="DT15" s="1">
        <f t="shared" si="29"/>
        <v>851.20596160768173</v>
      </c>
      <c r="DU15" s="1">
        <f t="shared" si="29"/>
        <v>842.69390199160489</v>
      </c>
      <c r="DV15" s="1">
        <f t="shared" si="29"/>
        <v>834.26696297168883</v>
      </c>
      <c r="DW15" s="1">
        <f t="shared" si="29"/>
        <v>825.92429334197197</v>
      </c>
      <c r="DX15" s="1">
        <f t="shared" si="29"/>
        <v>817.66505040855225</v>
      </c>
      <c r="DY15" s="1">
        <f t="shared" si="29"/>
        <v>809.48839990446675</v>
      </c>
      <c r="DZ15" s="1">
        <f t="shared" si="29"/>
        <v>801.39351590542208</v>
      </c>
      <c r="EA15" s="1">
        <f t="shared" si="29"/>
        <v>793.37958074636788</v>
      </c>
      <c r="EB15" s="1">
        <f t="shared" si="29"/>
        <v>785.44578493890424</v>
      </c>
      <c r="EC15" s="1">
        <f t="shared" si="29"/>
        <v>777.59132708951518</v>
      </c>
      <c r="ED15" s="1">
        <f t="shared" si="29"/>
        <v>769.81541381862007</v>
      </c>
      <c r="EE15" s="1">
        <f t="shared" ref="EE15:EQ15" si="30">ED15*(1+$AO$22)</f>
        <v>762.1172596804339</v>
      </c>
      <c r="EF15" s="1">
        <f t="shared" si="30"/>
        <v>754.4960870836295</v>
      </c>
      <c r="EG15" s="1">
        <f t="shared" si="30"/>
        <v>746.95112621279316</v>
      </c>
      <c r="EH15" s="1">
        <f t="shared" si="30"/>
        <v>739.48161495066518</v>
      </c>
      <c r="EI15" s="1">
        <f t="shared" si="30"/>
        <v>732.08679880115847</v>
      </c>
      <c r="EJ15" s="1">
        <f t="shared" si="30"/>
        <v>724.76593081314684</v>
      </c>
      <c r="EK15" s="1">
        <f t="shared" si="30"/>
        <v>717.51827150501538</v>
      </c>
      <c r="EL15" s="1">
        <f t="shared" si="30"/>
        <v>710.34308878996524</v>
      </c>
      <c r="EM15" s="1">
        <f t="shared" si="30"/>
        <v>703.23965790206557</v>
      </c>
      <c r="EN15" s="1">
        <f t="shared" si="30"/>
        <v>696.20726132304492</v>
      </c>
      <c r="EO15" s="1">
        <f t="shared" si="30"/>
        <v>689.24518870981444</v>
      </c>
      <c r="EP15" s="1">
        <f t="shared" si="30"/>
        <v>682.35273682271634</v>
      </c>
      <c r="EQ15" s="1">
        <f t="shared" si="30"/>
        <v>675.52920945448921</v>
      </c>
    </row>
    <row r="16" spans="2:147" x14ac:dyDescent="0.3">
      <c r="B16" t="s">
        <v>2</v>
      </c>
      <c r="C16" s="5">
        <v>5617</v>
      </c>
      <c r="D16" s="5">
        <v>5617</v>
      </c>
      <c r="E16" s="5">
        <v>5617</v>
      </c>
      <c r="F16" s="5">
        <v>5617</v>
      </c>
      <c r="G16" s="5">
        <v>5617</v>
      </c>
      <c r="H16" s="5">
        <v>5617</v>
      </c>
      <c r="I16" s="5">
        <v>5617</v>
      </c>
      <c r="J16" s="5">
        <v>5617</v>
      </c>
      <c r="K16" s="5">
        <v>5617</v>
      </c>
      <c r="L16" s="5">
        <v>5617</v>
      </c>
      <c r="M16" s="5">
        <v>5617</v>
      </c>
      <c r="N16" s="5">
        <v>5617</v>
      </c>
      <c r="O16" s="5">
        <v>5617</v>
      </c>
      <c r="P16" s="5">
        <v>5617</v>
      </c>
      <c r="Q16" s="5">
        <v>5617</v>
      </c>
      <c r="R16" s="5">
        <v>5617</v>
      </c>
      <c r="S16" s="5">
        <v>5617</v>
      </c>
      <c r="T16" s="5">
        <v>5617</v>
      </c>
      <c r="U16" s="5">
        <v>5617</v>
      </c>
      <c r="V16" s="5">
        <v>5617</v>
      </c>
      <c r="X16" s="5">
        <v>5617</v>
      </c>
      <c r="Y16" s="5">
        <v>5617</v>
      </c>
      <c r="Z16" s="5">
        <v>5617</v>
      </c>
      <c r="AA16" s="5">
        <v>5617</v>
      </c>
      <c r="AB16" s="5">
        <v>5617</v>
      </c>
      <c r="AC16" s="5">
        <v>5617</v>
      </c>
      <c r="AD16" s="5">
        <v>5617</v>
      </c>
      <c r="AE16" s="5">
        <v>5617</v>
      </c>
      <c r="AF16" s="5">
        <v>5617</v>
      </c>
      <c r="AG16" s="5">
        <v>5617</v>
      </c>
      <c r="AH16" s="5">
        <v>5617</v>
      </c>
      <c r="AI16" s="5">
        <v>5617</v>
      </c>
      <c r="AJ16" s="5">
        <v>5617</v>
      </c>
      <c r="AK16" s="5">
        <v>5617</v>
      </c>
      <c r="AL16" s="5">
        <v>5617</v>
      </c>
    </row>
    <row r="17" spans="2:44" s="1" customFormat="1" x14ac:dyDescent="0.3">
      <c r="B17" s="1" t="s">
        <v>35</v>
      </c>
      <c r="C17" s="7">
        <f t="shared" ref="C17:R17" si="31">C15/C16</f>
        <v>-8.6879116966352143E-2</v>
      </c>
      <c r="D17" s="7">
        <f t="shared" si="31"/>
        <v>-7.7977568096848845E-2</v>
      </c>
      <c r="E17" s="7">
        <f t="shared" si="31"/>
        <v>-3.2579668862382054E-2</v>
      </c>
      <c r="F17" s="7">
        <f t="shared" si="31"/>
        <v>-6.8541926295175359E-2</v>
      </c>
      <c r="G17" s="7">
        <f t="shared" si="31"/>
        <v>-3.3469823749332384E-2</v>
      </c>
      <c r="H17" s="7">
        <f t="shared" si="31"/>
        <v>-4.7534270963147586E-2</v>
      </c>
      <c r="I17" s="7">
        <f t="shared" si="31"/>
        <v>-1.4064447213815204E-2</v>
      </c>
      <c r="J17" s="7">
        <f t="shared" si="31"/>
        <v>3.4181947658892646E-2</v>
      </c>
      <c r="K17" s="7">
        <f t="shared" si="31"/>
        <v>-7.9223784938579317E-2</v>
      </c>
      <c r="L17" s="7">
        <f t="shared" si="31"/>
        <v>-3.4359978636282713E-2</v>
      </c>
      <c r="M17" s="7">
        <f t="shared" si="31"/>
        <v>1.51326330781556E-2</v>
      </c>
      <c r="N17" s="7">
        <f t="shared" si="31"/>
        <v>0.10023144027060708</v>
      </c>
      <c r="O17" s="7">
        <f t="shared" si="31"/>
        <v>-2.0829624354637706E-2</v>
      </c>
      <c r="P17" s="7">
        <f t="shared" si="31"/>
        <v>1.6734911874666192E-2</v>
      </c>
      <c r="Q17" s="7">
        <f t="shared" si="31"/>
        <v>3.4538009613672781E-2</v>
      </c>
      <c r="R17" s="7">
        <f t="shared" si="31"/>
        <v>-0.46288054121417127</v>
      </c>
      <c r="S17" s="7">
        <f t="shared" ref="S17:V17" si="32">S15/S16</f>
        <v>5.0026704646608508E-2</v>
      </c>
      <c r="T17" s="7">
        <f t="shared" si="32"/>
        <v>2.9077165746839977E-2</v>
      </c>
      <c r="U17" s="7">
        <f t="shared" si="32"/>
        <v>4.6457055367633934E-2</v>
      </c>
      <c r="V17" s="7">
        <f t="shared" si="32"/>
        <v>7.2929392914367119E-2</v>
      </c>
      <c r="X17" s="7">
        <f>X15/X16</f>
        <v>-0.26597828022075842</v>
      </c>
      <c r="Y17" s="7">
        <f>Y15/Y16</f>
        <v>-6.0886594267402526E-2</v>
      </c>
      <c r="Z17" s="7">
        <f>Z15/Z16</f>
        <v>1.7803097739006587E-3</v>
      </c>
      <c r="AA17" s="7">
        <f>AA15/AA16</f>
        <v>-0.43243724408047002</v>
      </c>
      <c r="AB17" s="7">
        <f t="shared" ref="AB17:AK17" si="33">AB15/AB16</f>
        <v>0.19849031867545006</v>
      </c>
      <c r="AC17" s="7">
        <f t="shared" si="33"/>
        <v>0.2256702874844225</v>
      </c>
      <c r="AD17" s="7">
        <f t="shared" si="33"/>
        <v>0.24664914739967977</v>
      </c>
      <c r="AE17" s="7">
        <f t="shared" si="33"/>
        <v>0.26772954325303938</v>
      </c>
      <c r="AF17" s="7">
        <f t="shared" si="33"/>
        <v>0.28905277896533588</v>
      </c>
      <c r="AG17" s="7">
        <f t="shared" si="33"/>
        <v>0.30737694022166762</v>
      </c>
      <c r="AH17" s="7">
        <f t="shared" si="33"/>
        <v>0.32580608161010199</v>
      </c>
      <c r="AI17" s="7">
        <f t="shared" si="33"/>
        <v>0.34440940200826303</v>
      </c>
      <c r="AJ17" s="7">
        <f t="shared" si="33"/>
        <v>0.34961481253718579</v>
      </c>
      <c r="AK17" s="7">
        <f t="shared" si="33"/>
        <v>0.3546910988505429</v>
      </c>
      <c r="AL17" s="7">
        <f t="shared" ref="AL17" si="34">AL15/AL16</f>
        <v>0.35966940575171491</v>
      </c>
    </row>
    <row r="19" spans="2:44" s="1" customFormat="1" x14ac:dyDescent="0.3">
      <c r="B19" s="1" t="s">
        <v>41</v>
      </c>
      <c r="G19" s="11">
        <f>G3/C3-1</f>
        <v>-8.4417999256229059E-2</v>
      </c>
      <c r="H19" s="11">
        <f t="shared" ref="H19:R19" si="35">H3/D3-1</f>
        <v>-5.4458088627869716E-2</v>
      </c>
      <c r="I19" s="11">
        <f t="shared" si="35"/>
        <v>-7.6363636363636633E-3</v>
      </c>
      <c r="J19" s="11">
        <f t="shared" si="35"/>
        <v>3.2777026011126198E-2</v>
      </c>
      <c r="K19" s="11">
        <f t="shared" si="35"/>
        <v>2.1933387489845746E-2</v>
      </c>
      <c r="L19" s="11">
        <f t="shared" si="35"/>
        <v>7.1710897797854223E-2</v>
      </c>
      <c r="M19" s="11">
        <f t="shared" si="35"/>
        <v>4.177354342249906E-2</v>
      </c>
      <c r="N19" s="11">
        <f t="shared" si="35"/>
        <v>4.9497743485222845E-3</v>
      </c>
      <c r="O19" s="11">
        <f t="shared" si="35"/>
        <v>-2.3648648648648685E-2</v>
      </c>
      <c r="P19" s="11">
        <f t="shared" si="35"/>
        <v>-0.10572532490340714</v>
      </c>
      <c r="Q19" s="11">
        <f t="shared" si="35"/>
        <v>-6.8941259233204377E-2</v>
      </c>
      <c r="R19" s="11">
        <f t="shared" si="35"/>
        <v>-4.8529624800811244E-2</v>
      </c>
      <c r="S19" s="11">
        <f t="shared" ref="S19" si="36">S3/O3-1</f>
        <v>3.317728475473225E-2</v>
      </c>
      <c r="T19" s="11">
        <f t="shared" ref="T19" si="37">T3/P3-1</f>
        <v>9.000000000000008E-2</v>
      </c>
      <c r="U19" s="11">
        <f t="shared" ref="U19" si="38">U3/Q3-1</f>
        <v>7.0000000000000062E-2</v>
      </c>
      <c r="V19" s="11">
        <f t="shared" ref="V19" si="39">V3/R3-1</f>
        <v>6.0000000000000053E-2</v>
      </c>
      <c r="Y19" s="11">
        <f>Y3/X3-1</f>
        <v>-2.5228961465353361E-2</v>
      </c>
      <c r="Z19" s="11">
        <f t="shared" ref="Z19:AL19" si="40">Z3/Y3-1</f>
        <v>3.328310583229932E-2</v>
      </c>
      <c r="AA19" s="11">
        <f t="shared" si="40"/>
        <v>-6.2105940381728453E-2</v>
      </c>
      <c r="AB19" s="11">
        <f t="shared" si="40"/>
        <v>6.3380436273837493E-2</v>
      </c>
      <c r="AC19" s="11">
        <f t="shared" si="40"/>
        <v>4.0000000000000036E-2</v>
      </c>
      <c r="AD19" s="11">
        <f t="shared" si="40"/>
        <v>3.0000000000000027E-2</v>
      </c>
      <c r="AE19" s="11">
        <f t="shared" si="40"/>
        <v>3.0000000000000027E-2</v>
      </c>
      <c r="AF19" s="11">
        <f t="shared" si="40"/>
        <v>3.0000000000000027E-2</v>
      </c>
      <c r="AG19" s="11">
        <f t="shared" si="40"/>
        <v>2.0000000000000018E-2</v>
      </c>
      <c r="AH19" s="11">
        <f t="shared" si="40"/>
        <v>2.0000000000000018E-2</v>
      </c>
      <c r="AI19" s="11">
        <f t="shared" si="40"/>
        <v>2.0000000000000018E-2</v>
      </c>
      <c r="AJ19" s="11">
        <f t="shared" si="40"/>
        <v>1.0000000000000009E-2</v>
      </c>
      <c r="AK19" s="11">
        <f t="shared" si="40"/>
        <v>1.0000000000000009E-2</v>
      </c>
      <c r="AL19" s="11">
        <f t="shared" si="40"/>
        <v>1.0000000000000009E-2</v>
      </c>
    </row>
    <row r="20" spans="2:44" s="1" customFormat="1" x14ac:dyDescent="0.3">
      <c r="B20" s="1" t="s">
        <v>42</v>
      </c>
      <c r="C20" s="11">
        <f t="shared" ref="C20:F20" si="41">C5/C3</f>
        <v>0.39531424321309039</v>
      </c>
      <c r="D20" s="11">
        <f t="shared" si="41"/>
        <v>0.39793557572521798</v>
      </c>
      <c r="E20" s="11">
        <f t="shared" si="41"/>
        <v>0.39727272727272728</v>
      </c>
      <c r="F20" s="11">
        <f t="shared" si="41"/>
        <v>0.3898661855360096</v>
      </c>
      <c r="G20" s="11">
        <f>G5/G3</f>
        <v>0.3665718927701056</v>
      </c>
      <c r="H20" s="11">
        <f t="shared" ref="H20:R20" si="42">H5/H3</f>
        <v>0.35008469791078489</v>
      </c>
      <c r="I20" s="11">
        <f t="shared" si="42"/>
        <v>0.36991572004397216</v>
      </c>
      <c r="J20" s="11">
        <f t="shared" si="42"/>
        <v>0.40195079341971174</v>
      </c>
      <c r="K20" s="11">
        <f t="shared" si="42"/>
        <v>0.31399046104928457</v>
      </c>
      <c r="L20" s="11">
        <f t="shared" si="42"/>
        <v>0.36266245170354761</v>
      </c>
      <c r="M20" s="11">
        <f t="shared" si="42"/>
        <v>0.34628913119943722</v>
      </c>
      <c r="N20" s="11">
        <f t="shared" si="42"/>
        <v>0.39287266405910476</v>
      </c>
      <c r="O20" s="11">
        <f t="shared" si="42"/>
        <v>0.36189700793812335</v>
      </c>
      <c r="P20" s="11">
        <f t="shared" si="42"/>
        <v>0.3939512961508248</v>
      </c>
      <c r="Q20" s="11">
        <f t="shared" si="42"/>
        <v>0.37344163203626746</v>
      </c>
      <c r="R20" s="11">
        <f t="shared" si="42"/>
        <v>0.39174786845310594</v>
      </c>
      <c r="S20" s="11">
        <f t="shared" ref="S20:V20" si="43">S5/S3</f>
        <v>0.37923561859732074</v>
      </c>
      <c r="T20" s="11">
        <f t="shared" si="43"/>
        <v>0.39</v>
      </c>
      <c r="U20" s="11">
        <f t="shared" si="43"/>
        <v>0.38</v>
      </c>
      <c r="V20" s="11">
        <f t="shared" si="43"/>
        <v>0.40000000000000008</v>
      </c>
      <c r="X20" s="11">
        <f t="shared" ref="X20:AK20" si="44">X5/X3</f>
        <v>0.39485052704337309</v>
      </c>
      <c r="Y20" s="11">
        <f t="shared" si="44"/>
        <v>0.37426874667612126</v>
      </c>
      <c r="Z20" s="11">
        <f t="shared" si="44"/>
        <v>0.35710915719493885</v>
      </c>
      <c r="AA20" s="11">
        <f t="shared" si="44"/>
        <v>0.38112223899025932</v>
      </c>
      <c r="AB20" s="11">
        <f t="shared" si="44"/>
        <v>0.38820818356732534</v>
      </c>
      <c r="AC20" s="11">
        <f t="shared" si="44"/>
        <v>0.39</v>
      </c>
      <c r="AD20" s="11">
        <f t="shared" si="44"/>
        <v>0.39</v>
      </c>
      <c r="AE20" s="11">
        <f t="shared" si="44"/>
        <v>0.39000000000000007</v>
      </c>
      <c r="AF20" s="11">
        <f t="shared" si="44"/>
        <v>0.39</v>
      </c>
      <c r="AG20" s="11">
        <f t="shared" si="44"/>
        <v>0.39</v>
      </c>
      <c r="AH20" s="11">
        <f t="shared" si="44"/>
        <v>0.38999999999999996</v>
      </c>
      <c r="AI20" s="11">
        <f t="shared" si="44"/>
        <v>0.39000000000000007</v>
      </c>
      <c r="AJ20" s="11">
        <f t="shared" si="44"/>
        <v>0.39</v>
      </c>
      <c r="AK20" s="11">
        <f t="shared" si="44"/>
        <v>0.39</v>
      </c>
      <c r="AL20" s="11">
        <f t="shared" ref="AL20" si="45">AL5/AL3</f>
        <v>0.39</v>
      </c>
    </row>
    <row r="21" spans="2:44" x14ac:dyDescent="0.3">
      <c r="B21" s="9" t="s">
        <v>43</v>
      </c>
      <c r="C21" s="10">
        <f t="shared" ref="C21:F21" si="46">C9/C3</f>
        <v>-2.361472666418743E-2</v>
      </c>
      <c r="D21" s="10">
        <f t="shared" si="46"/>
        <v>-8.1865100551699599E-3</v>
      </c>
      <c r="E21" s="10">
        <f t="shared" si="46"/>
        <v>-4.1818181818181817E-2</v>
      </c>
      <c r="F21" s="10">
        <f t="shared" si="46"/>
        <v>6.2998045406705755E-2</v>
      </c>
      <c r="G21" s="10">
        <f>G9/G3</f>
        <v>-6.8237205523964256E-2</v>
      </c>
      <c r="H21" s="10">
        <f t="shared" ref="H21:R21" si="47">H9/H3</f>
        <v>-4.1596085074345944E-2</v>
      </c>
      <c r="I21" s="10">
        <f t="shared" si="47"/>
        <v>-9.8937339684866243E-3</v>
      </c>
      <c r="J21" s="10">
        <f t="shared" si="47"/>
        <v>8.0361042364245155E-2</v>
      </c>
      <c r="K21" s="10">
        <f t="shared" si="47"/>
        <v>-0.10353736089030206</v>
      </c>
      <c r="L21" s="10">
        <f t="shared" si="47"/>
        <v>-1.0186160871092378E-2</v>
      </c>
      <c r="M21" s="10">
        <f t="shared" si="47"/>
        <v>4.6605698206120295E-2</v>
      </c>
      <c r="N21" s="10">
        <f t="shared" si="47"/>
        <v>0.11632623497030277</v>
      </c>
      <c r="O21" s="10">
        <f t="shared" si="47"/>
        <v>-1.5672705068186445E-2</v>
      </c>
      <c r="P21" s="10">
        <f t="shared" si="47"/>
        <v>3.3385703063629223E-2</v>
      </c>
      <c r="Q21" s="10">
        <f t="shared" si="47"/>
        <v>6.6301473366074795E-2</v>
      </c>
      <c r="R21" s="10">
        <f t="shared" si="47"/>
        <v>7.2168087697929359E-2</v>
      </c>
      <c r="S21" s="10">
        <f t="shared" ref="S21:V21" si="48">S9/S3</f>
        <v>8.490937746256895E-2</v>
      </c>
      <c r="T21" s="10">
        <f t="shared" si="48"/>
        <v>4.8914505214151388E-2</v>
      </c>
      <c r="U21" s="10">
        <f t="shared" si="48"/>
        <v>7.3627771167500453E-2</v>
      </c>
      <c r="V21" s="10">
        <f t="shared" si="48"/>
        <v>8.7487072828809812E-2</v>
      </c>
      <c r="X21" s="10">
        <f t="shared" ref="X21:AK21" si="49">X9/X3</f>
        <v>6.9120442370831177E-4</v>
      </c>
      <c r="Y21" s="10">
        <f t="shared" si="49"/>
        <v>-2.6147846126573305E-3</v>
      </c>
      <c r="Z21" s="10">
        <f t="shared" si="49"/>
        <v>2.0973622131674887E-2</v>
      </c>
      <c r="AA21" s="10">
        <f t="shared" si="49"/>
        <v>4.1981067361778021E-2</v>
      </c>
      <c r="AB21" s="10">
        <f t="shared" si="49"/>
        <v>7.4341205886223533E-2</v>
      </c>
      <c r="AC21" s="10">
        <f t="shared" si="49"/>
        <v>8.0975817714630166E-2</v>
      </c>
      <c r="AD21" s="10">
        <f t="shared" si="49"/>
        <v>8.4462374834292545E-2</v>
      </c>
      <c r="AE21" s="10">
        <f t="shared" si="49"/>
        <v>8.7891474004240161E-2</v>
      </c>
      <c r="AF21" s="10">
        <f t="shared" si="49"/>
        <v>9.1264819082265816E-2</v>
      </c>
      <c r="AG21" s="10">
        <f t="shared" si="49"/>
        <v>9.4510836204579909E-2</v>
      </c>
      <c r="AH21" s="10">
        <f t="shared" si="49"/>
        <v>9.7712588812408296E-2</v>
      </c>
      <c r="AI21" s="10">
        <f t="shared" si="49"/>
        <v>0.100870998746764</v>
      </c>
      <c r="AJ21" s="10">
        <f t="shared" si="49"/>
        <v>0.10115514739823306</v>
      </c>
      <c r="AK21" s="10">
        <f t="shared" si="49"/>
        <v>0.10143085599074768</v>
      </c>
      <c r="AL21" s="10">
        <f t="shared" ref="AL21" si="50">AL9/AL3</f>
        <v>0.10169837521912815</v>
      </c>
    </row>
    <row r="22" spans="2:44" x14ac:dyDescent="0.3">
      <c r="B22" s="9" t="s">
        <v>44</v>
      </c>
      <c r="G22" s="10">
        <f t="shared" ref="G22:R22" si="51">G6/C6-1</f>
        <v>-7.7470355731225293E-2</v>
      </c>
      <c r="H22" s="10">
        <f t="shared" si="51"/>
        <v>-4.0362438220757801E-2</v>
      </c>
      <c r="I22" s="10">
        <f t="shared" si="51"/>
        <v>-7.3432343234323461E-2</v>
      </c>
      <c r="J22" s="10">
        <f t="shared" si="51"/>
        <v>-4.9755301794453533E-2</v>
      </c>
      <c r="K22" s="10">
        <f t="shared" si="51"/>
        <v>-9.425878320479808E-3</v>
      </c>
      <c r="L22" s="10">
        <f t="shared" si="51"/>
        <v>-3.3476394849785374E-2</v>
      </c>
      <c r="M22" s="10">
        <f t="shared" si="51"/>
        <v>-5.6099732858414963E-2</v>
      </c>
      <c r="N22" s="10">
        <f t="shared" si="51"/>
        <v>-8.2403433476394894E-2</v>
      </c>
      <c r="O22" s="10">
        <f t="shared" si="51"/>
        <v>-0.14619377162629754</v>
      </c>
      <c r="P22" s="10">
        <f t="shared" si="51"/>
        <v>-0.13943161634103018</v>
      </c>
      <c r="Q22" s="10">
        <f t="shared" si="51"/>
        <v>-0.15566037735849059</v>
      </c>
      <c r="R22" s="10">
        <f t="shared" si="51"/>
        <v>7.1094480823199246E-2</v>
      </c>
      <c r="S22" s="10">
        <f t="shared" ref="S22:S23" si="52">S6/O6-1</f>
        <v>9.1185410334346795E-3</v>
      </c>
      <c r="T22" s="10">
        <f t="shared" ref="T22:T23" si="53">T6/P6-1</f>
        <v>2.0000000000000018E-2</v>
      </c>
      <c r="U22" s="10">
        <f t="shared" ref="U22:U23" si="54">U6/Q6-1</f>
        <v>7.0000000000000062E-2</v>
      </c>
      <c r="V22" s="10">
        <f t="shared" ref="V22:V23" si="55">V6/R6-1</f>
        <v>3.0000000000000027E-2</v>
      </c>
      <c r="Y22" s="12">
        <f t="shared" ref="Y22:AL22" si="56">Y6/X6-1</f>
        <v>-6.0402684563758413E-2</v>
      </c>
      <c r="Z22" s="12">
        <f t="shared" si="56"/>
        <v>-4.5238095238095188E-2</v>
      </c>
      <c r="AA22" s="12">
        <f t="shared" si="56"/>
        <v>-9.4082974382226237E-2</v>
      </c>
      <c r="AB22" s="12">
        <f t="shared" si="56"/>
        <v>3.1376376376376358E-2</v>
      </c>
      <c r="AC22" s="12">
        <f t="shared" si="56"/>
        <v>3.0000000000000027E-2</v>
      </c>
      <c r="AD22" s="12">
        <f t="shared" si="56"/>
        <v>2.0000000000000018E-2</v>
      </c>
      <c r="AE22" s="12">
        <f t="shared" si="56"/>
        <v>2.0000000000000018E-2</v>
      </c>
      <c r="AF22" s="12">
        <f t="shared" si="56"/>
        <v>2.0000000000000018E-2</v>
      </c>
      <c r="AG22" s="12">
        <f t="shared" si="56"/>
        <v>1.0000000000000009E-2</v>
      </c>
      <c r="AH22" s="12">
        <f t="shared" si="56"/>
        <v>1.0000000000000009E-2</v>
      </c>
      <c r="AI22" s="12">
        <f t="shared" si="56"/>
        <v>1.0000000000000009E-2</v>
      </c>
      <c r="AJ22" s="12">
        <f t="shared" si="56"/>
        <v>1.0000000000000009E-2</v>
      </c>
      <c r="AK22" s="12">
        <f t="shared" si="56"/>
        <v>1.0000000000000009E-2</v>
      </c>
      <c r="AL22" s="12">
        <f t="shared" si="56"/>
        <v>1.0000000000000009E-2</v>
      </c>
      <c r="AN22" t="s">
        <v>46</v>
      </c>
      <c r="AO22" s="10">
        <v>-0.01</v>
      </c>
    </row>
    <row r="23" spans="2:44" x14ac:dyDescent="0.3">
      <c r="B23" s="9" t="s">
        <v>45</v>
      </c>
      <c r="G23" s="10">
        <f t="shared" ref="G23:R23" si="57">G7/C7-1</f>
        <v>-7.8346028291621295E-2</v>
      </c>
      <c r="H23" s="10">
        <f t="shared" si="57"/>
        <v>-0.10264900662251653</v>
      </c>
      <c r="I23" s="10">
        <f t="shared" si="57"/>
        <v>1.1627906976744207E-2</v>
      </c>
      <c r="J23" s="10">
        <f t="shared" si="57"/>
        <v>3.225806451612856E-3</v>
      </c>
      <c r="K23" s="10">
        <f t="shared" si="57"/>
        <v>-3.0696576151121646E-2</v>
      </c>
      <c r="L23" s="10">
        <f t="shared" si="57"/>
        <v>-6.1500615006150117E-2</v>
      </c>
      <c r="M23" s="10">
        <f t="shared" si="57"/>
        <v>-0.15057471264367817</v>
      </c>
      <c r="N23" s="10">
        <f t="shared" si="57"/>
        <v>-0.17041800643086813</v>
      </c>
      <c r="O23" s="10">
        <f t="shared" si="57"/>
        <v>-7.1863580998781984E-2</v>
      </c>
      <c r="P23" s="10">
        <f t="shared" si="57"/>
        <v>-0.10878112712975097</v>
      </c>
      <c r="Q23" s="10">
        <f t="shared" si="57"/>
        <v>-0.12855209742895801</v>
      </c>
      <c r="R23" s="10">
        <f t="shared" si="57"/>
        <v>3.8759689922480689E-3</v>
      </c>
      <c r="S23" s="10">
        <f t="shared" si="52"/>
        <v>-0.14829396325459321</v>
      </c>
      <c r="T23" s="10">
        <f t="shared" si="53"/>
        <v>5.0000000000000044E-2</v>
      </c>
      <c r="U23" s="10">
        <f t="shared" si="54"/>
        <v>7.0000000000000062E-2</v>
      </c>
      <c r="V23" s="10">
        <f t="shared" si="55"/>
        <v>5.0000000000000044E-2</v>
      </c>
      <c r="Y23" s="12">
        <f t="shared" ref="Y23:AL23" si="58">Y7/X7-1</f>
        <v>-4.2047026279391386E-2</v>
      </c>
      <c r="Z23" s="12">
        <f t="shared" si="58"/>
        <v>-0.10568870921166618</v>
      </c>
      <c r="AA23" s="12">
        <f t="shared" si="58"/>
        <v>-7.5556990636099441E-2</v>
      </c>
      <c r="AB23" s="12">
        <f t="shared" si="58"/>
        <v>1.7219699615786954E-3</v>
      </c>
      <c r="AC23" s="12">
        <f t="shared" si="58"/>
        <v>2.0000000000000018E-2</v>
      </c>
      <c r="AD23" s="12">
        <f t="shared" si="58"/>
        <v>2.0000000000000018E-2</v>
      </c>
      <c r="AE23" s="12">
        <f t="shared" si="58"/>
        <v>2.0000000000000018E-2</v>
      </c>
      <c r="AF23" s="12">
        <f t="shared" si="58"/>
        <v>2.0000000000000018E-2</v>
      </c>
      <c r="AG23" s="12">
        <f t="shared" si="58"/>
        <v>1.0000000000000009E-2</v>
      </c>
      <c r="AH23" s="12">
        <f t="shared" si="58"/>
        <v>1.0000000000000009E-2</v>
      </c>
      <c r="AI23" s="12">
        <f t="shared" si="58"/>
        <v>1.0000000000000009E-2</v>
      </c>
      <c r="AJ23" s="12">
        <f t="shared" si="58"/>
        <v>1.0000000000000009E-2</v>
      </c>
      <c r="AK23" s="12">
        <f t="shared" si="58"/>
        <v>1.0000000000000009E-2</v>
      </c>
      <c r="AL23" s="12">
        <f t="shared" si="58"/>
        <v>1.0000000000000009E-2</v>
      </c>
      <c r="AN23" t="s">
        <v>47</v>
      </c>
      <c r="AO23" s="10">
        <v>7.0000000000000007E-2</v>
      </c>
    </row>
    <row r="24" spans="2:44" x14ac:dyDescent="0.3">
      <c r="B24" s="9" t="s">
        <v>33</v>
      </c>
      <c r="C24" s="12">
        <f t="shared" ref="C24:F24" si="59">C13/C12</f>
        <v>-0.54609929078014185</v>
      </c>
      <c r="D24" s="12">
        <f t="shared" si="59"/>
        <v>-0.31212121212121213</v>
      </c>
      <c r="E24" s="12">
        <f t="shared" si="59"/>
        <v>0.34931506849315069</v>
      </c>
      <c r="F24" s="12">
        <f t="shared" si="59"/>
        <v>1.9544303797468354</v>
      </c>
      <c r="G24" s="12">
        <f>G13/G12</f>
        <v>0.20982142857142858</v>
      </c>
      <c r="H24" s="12">
        <f t="shared" ref="H24:AK24" si="60">H13/H12</f>
        <v>3.5587188612099648E-2</v>
      </c>
      <c r="I24" s="12">
        <f t="shared" si="60"/>
        <v>-0.13392857142857142</v>
      </c>
      <c r="J24" s="12">
        <f t="shared" si="60"/>
        <v>0.57796257796257799</v>
      </c>
      <c r="K24" s="12">
        <f t="shared" si="60"/>
        <v>0.24440619621342513</v>
      </c>
      <c r="L24" s="12">
        <f t="shared" si="60"/>
        <v>0.1940928270042194</v>
      </c>
      <c r="M24" s="12">
        <f t="shared" si="60"/>
        <v>0.47058823529411764</v>
      </c>
      <c r="N24" s="12">
        <f t="shared" si="60"/>
        <v>0.30407911001236093</v>
      </c>
      <c r="O24" s="12">
        <f t="shared" si="60"/>
        <v>0.22900763358778625</v>
      </c>
      <c r="P24" s="12">
        <f t="shared" si="60"/>
        <v>0.48484848484848486</v>
      </c>
      <c r="Q24" s="12">
        <f t="shared" si="60"/>
        <v>0.26618705035971224</v>
      </c>
      <c r="R24" s="12">
        <f t="shared" si="60"/>
        <v>5.9866156787762907</v>
      </c>
      <c r="S24" s="12">
        <f t="shared" ref="S24:V24" si="61">S13/S12</f>
        <v>0.26684636118598382</v>
      </c>
      <c r="T24" s="12">
        <f t="shared" si="61"/>
        <v>0.3</v>
      </c>
      <c r="U24" s="12">
        <f t="shared" si="61"/>
        <v>0.3</v>
      </c>
      <c r="V24" s="12">
        <f t="shared" si="61"/>
        <v>0.3</v>
      </c>
      <c r="X24" s="12">
        <f t="shared" si="60"/>
        <v>-1.8212180746561886</v>
      </c>
      <c r="Y24" s="12">
        <f t="shared" si="60"/>
        <v>-0.52500000000000002</v>
      </c>
      <c r="Z24" s="12">
        <f t="shared" si="60"/>
        <v>0.8571428571428571</v>
      </c>
      <c r="AA24" s="12">
        <f t="shared" si="60"/>
        <v>3.8982035928143715</v>
      </c>
      <c r="AB24" s="12">
        <f t="shared" si="60"/>
        <v>0.29233726786593983</v>
      </c>
      <c r="AC24" s="12">
        <f t="shared" si="60"/>
        <v>0.3</v>
      </c>
      <c r="AD24" s="12">
        <f t="shared" si="60"/>
        <v>0.3</v>
      </c>
      <c r="AE24" s="12">
        <f t="shared" si="60"/>
        <v>0.3</v>
      </c>
      <c r="AF24" s="12">
        <f t="shared" si="60"/>
        <v>0.3</v>
      </c>
      <c r="AG24" s="12">
        <f t="shared" si="60"/>
        <v>0.3</v>
      </c>
      <c r="AH24" s="12">
        <f t="shared" si="60"/>
        <v>0.3</v>
      </c>
      <c r="AI24" s="12">
        <f t="shared" si="60"/>
        <v>0.3</v>
      </c>
      <c r="AJ24" s="12">
        <f t="shared" si="60"/>
        <v>0.3</v>
      </c>
      <c r="AK24" s="12">
        <f t="shared" si="60"/>
        <v>0.3</v>
      </c>
      <c r="AL24" s="12">
        <f t="shared" ref="AL24" si="62">AL13/AL12</f>
        <v>0.3</v>
      </c>
      <c r="AN24" t="s">
        <v>48</v>
      </c>
      <c r="AO24" s="5">
        <f>NPV(AO23,AB15:EQ15)</f>
        <v>23916.955482148012</v>
      </c>
    </row>
    <row r="25" spans="2:44" x14ac:dyDescent="0.3">
      <c r="B25" s="9" t="s">
        <v>60</v>
      </c>
      <c r="C25" s="12">
        <f>C15/C3</f>
        <v>-9.0740052063964294E-2</v>
      </c>
      <c r="D25" s="12">
        <f t="shared" ref="D25:V25" si="63">D15/D3</f>
        <v>-7.7949813134009616E-2</v>
      </c>
      <c r="E25" s="12">
        <f t="shared" si="63"/>
        <v>-3.3272727272727273E-2</v>
      </c>
      <c r="F25" s="12">
        <f t="shared" si="63"/>
        <v>-5.7886032175612688E-2</v>
      </c>
      <c r="G25" s="12">
        <f t="shared" si="63"/>
        <v>-3.8180341186027617E-2</v>
      </c>
      <c r="H25" s="12">
        <f t="shared" si="63"/>
        <v>-5.02540937323546E-2</v>
      </c>
      <c r="I25" s="12">
        <f t="shared" si="63"/>
        <v>-1.4474166361304507E-2</v>
      </c>
      <c r="J25" s="12">
        <f t="shared" si="63"/>
        <v>2.7951666909302664E-2</v>
      </c>
      <c r="K25" s="12">
        <f t="shared" si="63"/>
        <v>-8.8434022257551675E-2</v>
      </c>
      <c r="L25" s="12">
        <f t="shared" si="63"/>
        <v>-3.3895328415876363E-2</v>
      </c>
      <c r="M25" s="12">
        <f t="shared" si="63"/>
        <v>1.494899753781217E-2</v>
      </c>
      <c r="N25" s="12">
        <f t="shared" si="63"/>
        <v>8.1558742575691734E-2</v>
      </c>
      <c r="O25" s="12">
        <f t="shared" si="63"/>
        <v>-2.381437003867291E-2</v>
      </c>
      <c r="P25" s="12">
        <f t="shared" si="63"/>
        <v>1.8460329929300863E-2</v>
      </c>
      <c r="Q25" s="12">
        <f t="shared" si="63"/>
        <v>3.664525878352852E-2</v>
      </c>
      <c r="R25" s="12">
        <f t="shared" si="63"/>
        <v>-0.39585870889159563</v>
      </c>
      <c r="S25" s="12">
        <f t="shared" si="63"/>
        <v>5.53585500394011E-2</v>
      </c>
      <c r="T25" s="12">
        <f t="shared" si="63"/>
        <v>2.9426702796976033E-2</v>
      </c>
      <c r="U25" s="12">
        <f t="shared" si="63"/>
        <v>4.6066836376218508E-2</v>
      </c>
      <c r="V25" s="12">
        <f t="shared" si="63"/>
        <v>5.8839369843495068E-2</v>
      </c>
      <c r="X25" s="12">
        <f t="shared" ref="X25:AL25" si="64">X15/X3</f>
        <v>-6.4541213063763606E-2</v>
      </c>
      <c r="Y25" s="12">
        <f t="shared" si="64"/>
        <v>-1.515688707675944E-2</v>
      </c>
      <c r="Z25" s="12">
        <f t="shared" si="64"/>
        <v>4.2890842805061121E-4</v>
      </c>
      <c r="AA25" s="12">
        <f t="shared" si="64"/>
        <v>-0.1110806237709791</v>
      </c>
      <c r="AB25" s="12">
        <f t="shared" si="64"/>
        <v>4.7947490510877454E-2</v>
      </c>
      <c r="AC25" s="12">
        <f t="shared" si="64"/>
        <v>5.2416448977072323E-2</v>
      </c>
      <c r="AD25" s="12">
        <f t="shared" si="64"/>
        <v>5.5620592058591885E-2</v>
      </c>
      <c r="AE25" s="12">
        <f t="shared" si="64"/>
        <v>5.8615849204501448E-2</v>
      </c>
      <c r="AF25" s="12">
        <f t="shared" si="64"/>
        <v>6.1441058423521905E-2</v>
      </c>
      <c r="AG25" s="12">
        <f t="shared" si="64"/>
        <v>6.405494325768539E-2</v>
      </c>
      <c r="AH25" s="12">
        <f t="shared" si="64"/>
        <v>6.6564148787905356E-2</v>
      </c>
      <c r="AI25" s="12">
        <f t="shared" si="64"/>
        <v>6.898521511822106E-2</v>
      </c>
      <c r="AJ25" s="12">
        <f t="shared" si="64"/>
        <v>6.9334513888079374E-2</v>
      </c>
      <c r="AK25" s="12">
        <f t="shared" si="64"/>
        <v>6.9644779287188985E-2</v>
      </c>
      <c r="AL25" s="12">
        <f t="shared" si="64"/>
        <v>6.9923055878930426E-2</v>
      </c>
      <c r="AN25" t="s">
        <v>53</v>
      </c>
      <c r="AO25" s="5">
        <f>Main!D8</f>
        <v>3983</v>
      </c>
    </row>
    <row r="26" spans="2:44" x14ac:dyDescent="0.3">
      <c r="AN26" t="s">
        <v>49</v>
      </c>
      <c r="AO26" s="5">
        <f>AO24+AO25</f>
        <v>27899.955482148012</v>
      </c>
    </row>
    <row r="27" spans="2:44" x14ac:dyDescent="0.3">
      <c r="AN27" t="s">
        <v>50</v>
      </c>
      <c r="AO27" s="14">
        <f>AO26/AK16</f>
        <v>4.9670563436261368</v>
      </c>
      <c r="AQ27" s="4"/>
    </row>
    <row r="28" spans="2:44" x14ac:dyDescent="0.3">
      <c r="AN28" t="s">
        <v>51</v>
      </c>
      <c r="AO28" s="4">
        <f>Main!D3</f>
        <v>4.74</v>
      </c>
    </row>
    <row r="29" spans="2:44" x14ac:dyDescent="0.3">
      <c r="AN29" s="1" t="s">
        <v>52</v>
      </c>
      <c r="AO29" s="11">
        <f>((AO27*AR29)/AO28)-1</f>
        <v>0.23652457499553603</v>
      </c>
      <c r="AQ29" t="s">
        <v>55</v>
      </c>
      <c r="AR29">
        <v>1.18</v>
      </c>
    </row>
    <row r="30" spans="2:44" x14ac:dyDescent="0.3">
      <c r="AN30" t="s">
        <v>54</v>
      </c>
      <c r="AO30" s="6" t="s">
        <v>61</v>
      </c>
    </row>
  </sheetData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</dc:creator>
  <cp:lastModifiedBy>Anton</cp:lastModifiedBy>
  <dcterms:created xsi:type="dcterms:W3CDTF">2021-01-23T12:54:01Z</dcterms:created>
  <dcterms:modified xsi:type="dcterms:W3CDTF">2021-05-13T18:41:06Z</dcterms:modified>
</cp:coreProperties>
</file>