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120D1FF-7920-4BAF-AF9C-603D113E866A}" xr6:coauthVersionLast="47" xr6:coauthVersionMax="47" xr10:uidLastSave="{00000000-0000-0000-0000-000000000000}"/>
  <bookViews>
    <workbookView xWindow="-108" yWindow="-108" windowWidth="23256" windowHeight="12576" activeTab="1" xr2:uid="{07368E55-E692-488D-959E-E8519263B1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5" i="2"/>
  <c r="Y4" i="2"/>
  <c r="R5" i="2"/>
  <c r="R4" i="2" s="1"/>
  <c r="Q5" i="2"/>
  <c r="Q4" i="2" s="1"/>
  <c r="P5" i="2"/>
  <c r="P4" i="2" s="1"/>
  <c r="R3" i="2"/>
  <c r="R22" i="2" s="1"/>
  <c r="Q3" i="2"/>
  <c r="P3" i="2"/>
  <c r="P18" i="2" s="1"/>
  <c r="P22" i="2"/>
  <c r="U14" i="2"/>
  <c r="O12" i="2"/>
  <c r="O9" i="2"/>
  <c r="O6" i="2"/>
  <c r="O20" i="2" s="1"/>
  <c r="O7" i="2"/>
  <c r="R23" i="2"/>
  <c r="Q23" i="2"/>
  <c r="P23" i="2"/>
  <c r="R21" i="2"/>
  <c r="R20" i="2"/>
  <c r="Q20" i="2"/>
  <c r="P20" i="2"/>
  <c r="O19" i="2"/>
  <c r="O18" i="2"/>
  <c r="O5" i="2"/>
  <c r="O4" i="2"/>
  <c r="D7" i="1"/>
  <c r="D6" i="1"/>
  <c r="N5" i="2"/>
  <c r="M5" i="2"/>
  <c r="R19" i="2" l="1"/>
  <c r="Q19" i="2"/>
  <c r="R18" i="2"/>
  <c r="Q18" i="2"/>
  <c r="Q22" i="2"/>
  <c r="Q21" i="2"/>
  <c r="P19" i="2"/>
  <c r="O13" i="2"/>
  <c r="O14" i="2" s="1"/>
  <c r="O16" i="2" s="1"/>
  <c r="P21" i="2"/>
  <c r="O8" i="2"/>
  <c r="O22" i="2" s="1"/>
  <c r="O21" i="2"/>
  <c r="L5" i="2"/>
  <c r="AL25" i="2"/>
  <c r="O23" i="2" l="1"/>
  <c r="U21" i="2"/>
  <c r="U5" i="2"/>
  <c r="U8" i="2" s="1"/>
  <c r="U12" i="2" s="1"/>
  <c r="U16" i="2" s="1"/>
  <c r="V13" i="2"/>
  <c r="V10" i="2"/>
  <c r="V9" i="2"/>
  <c r="V7" i="2"/>
  <c r="V6" i="2"/>
  <c r="V20" i="2" s="1"/>
  <c r="V4" i="2"/>
  <c r="V3" i="2"/>
  <c r="V18" i="2" s="1"/>
  <c r="W13" i="2"/>
  <c r="W11" i="2"/>
  <c r="W10" i="2"/>
  <c r="W9" i="2"/>
  <c r="W7" i="2"/>
  <c r="W6" i="2"/>
  <c r="W20" i="2" s="1"/>
  <c r="W4" i="2"/>
  <c r="W3" i="2"/>
  <c r="W18" i="2" s="1"/>
  <c r="X11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X6" i="2"/>
  <c r="Y6" i="2" s="1"/>
  <c r="Z6" i="2" s="1"/>
  <c r="AA6" i="2" s="1"/>
  <c r="AB6" i="2" s="1"/>
  <c r="AC6" i="2" s="1"/>
  <c r="AD6" i="2" s="1"/>
  <c r="X3" i="2"/>
  <c r="F21" i="2"/>
  <c r="E21" i="2"/>
  <c r="D21" i="2"/>
  <c r="C21" i="2"/>
  <c r="X9" i="2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L8" i="2"/>
  <c r="L22" i="2" s="1"/>
  <c r="N21" i="2"/>
  <c r="M19" i="2"/>
  <c r="N20" i="2"/>
  <c r="M20" i="2"/>
  <c r="L20" i="2"/>
  <c r="L19" i="2"/>
  <c r="L21" i="2"/>
  <c r="K21" i="2"/>
  <c r="J21" i="2"/>
  <c r="I21" i="2"/>
  <c r="H21" i="2"/>
  <c r="K20" i="2"/>
  <c r="J20" i="2"/>
  <c r="I20" i="2"/>
  <c r="H20" i="2"/>
  <c r="G21" i="2"/>
  <c r="G20" i="2"/>
  <c r="L18" i="2"/>
  <c r="K18" i="2"/>
  <c r="J18" i="2"/>
  <c r="I18" i="2"/>
  <c r="H18" i="2"/>
  <c r="G18" i="2"/>
  <c r="C11" i="2"/>
  <c r="V11" i="2" s="1"/>
  <c r="C5" i="2"/>
  <c r="C8" i="2" s="1"/>
  <c r="C22" i="2" s="1"/>
  <c r="D5" i="2"/>
  <c r="D8" i="2" s="1"/>
  <c r="D12" i="2" s="1"/>
  <c r="D14" i="2" s="1"/>
  <c r="D16" i="2" s="1"/>
  <c r="H5" i="2"/>
  <c r="H8" i="2" s="1"/>
  <c r="H12" i="2" s="1"/>
  <c r="H14" i="2" s="1"/>
  <c r="H16" i="2" s="1"/>
  <c r="E5" i="2"/>
  <c r="E8" i="2" s="1"/>
  <c r="E12" i="2" s="1"/>
  <c r="E14" i="2" s="1"/>
  <c r="E16" i="2" s="1"/>
  <c r="I5" i="2"/>
  <c r="I8" i="2" s="1"/>
  <c r="I12" i="2" s="1"/>
  <c r="I14" i="2" s="1"/>
  <c r="I16" i="2" s="1"/>
  <c r="F5" i="2"/>
  <c r="F8" i="2" s="1"/>
  <c r="F12" i="2" s="1"/>
  <c r="F14" i="2" s="1"/>
  <c r="F16" i="2" s="1"/>
  <c r="J5" i="2"/>
  <c r="J8" i="2" s="1"/>
  <c r="J12" i="2" s="1"/>
  <c r="J14" i="2" s="1"/>
  <c r="J16" i="2" s="1"/>
  <c r="G5" i="2"/>
  <c r="G8" i="2" s="1"/>
  <c r="G12" i="2" s="1"/>
  <c r="G14" i="2" s="1"/>
  <c r="G16" i="2" s="1"/>
  <c r="K5" i="2"/>
  <c r="K8" i="2" s="1"/>
  <c r="K12" i="2" s="1"/>
  <c r="K14" i="2" s="1"/>
  <c r="K16" i="2" s="1"/>
  <c r="D8" i="1"/>
  <c r="AL22" i="2" s="1"/>
  <c r="D5" i="1"/>
  <c r="F3" i="1"/>
  <c r="J19" i="2" l="1"/>
  <c r="J23" i="2"/>
  <c r="U19" i="2"/>
  <c r="U22" i="2"/>
  <c r="I19" i="2"/>
  <c r="E23" i="2"/>
  <c r="W21" i="2"/>
  <c r="V21" i="2"/>
  <c r="U23" i="2"/>
  <c r="I23" i="2"/>
  <c r="D23" i="2"/>
  <c r="F23" i="2"/>
  <c r="G19" i="2"/>
  <c r="H22" i="2"/>
  <c r="C19" i="2"/>
  <c r="K19" i="2"/>
  <c r="I22" i="2"/>
  <c r="D19" i="2"/>
  <c r="D22" i="2"/>
  <c r="G22" i="2"/>
  <c r="J22" i="2"/>
  <c r="E19" i="2"/>
  <c r="E22" i="2"/>
  <c r="G23" i="2"/>
  <c r="K22" i="2"/>
  <c r="F19" i="2"/>
  <c r="F22" i="2"/>
  <c r="H19" i="2"/>
  <c r="H23" i="2"/>
  <c r="Y20" i="2"/>
  <c r="AE6" i="2"/>
  <c r="AF6" i="2" s="1"/>
  <c r="AG6" i="2" s="1"/>
  <c r="AH6" i="2" s="1"/>
  <c r="AI6" i="2" s="1"/>
  <c r="X20" i="2"/>
  <c r="X18" i="2"/>
  <c r="L12" i="2"/>
  <c r="D9" i="1"/>
  <c r="V5" i="2"/>
  <c r="W5" i="2"/>
  <c r="K23" i="2"/>
  <c r="N8" i="2"/>
  <c r="N12" i="2" s="1"/>
  <c r="N18" i="2"/>
  <c r="M18" i="2"/>
  <c r="C12" i="2"/>
  <c r="C14" i="2" l="1"/>
  <c r="C16" i="2" s="1"/>
  <c r="C23" i="2"/>
  <c r="Y7" i="2"/>
  <c r="Y21" i="2" s="1"/>
  <c r="Z3" i="2"/>
  <c r="Z5" i="2" s="1"/>
  <c r="W8" i="2"/>
  <c r="W19" i="2"/>
  <c r="V8" i="2"/>
  <c r="V19" i="2"/>
  <c r="N23" i="2"/>
  <c r="AB20" i="2"/>
  <c r="Z20" i="2"/>
  <c r="AA20" i="2"/>
  <c r="N22" i="2"/>
  <c r="M21" i="2"/>
  <c r="X7" i="2"/>
  <c r="X21" i="2" s="1"/>
  <c r="M8" i="2"/>
  <c r="L14" i="2"/>
  <c r="L16" i="2" s="1"/>
  <c r="L23" i="2"/>
  <c r="Y18" i="2"/>
  <c r="AC20" i="2"/>
  <c r="AD20" i="2"/>
  <c r="X4" i="2"/>
  <c r="X5" i="2" s="1"/>
  <c r="X19" i="2" s="1"/>
  <c r="N19" i="2"/>
  <c r="V12" i="2" l="1"/>
  <c r="V22" i="2"/>
  <c r="AA3" i="2"/>
  <c r="AA5" i="2" s="1"/>
  <c r="Z7" i="2"/>
  <c r="W12" i="2"/>
  <c r="W22" i="2"/>
  <c r="N14" i="2"/>
  <c r="N16" i="2" s="1"/>
  <c r="X8" i="2"/>
  <c r="X12" i="2" s="1"/>
  <c r="M12" i="2"/>
  <c r="M22" i="2"/>
  <c r="Z18" i="2"/>
  <c r="Z21" i="2"/>
  <c r="Y19" i="2"/>
  <c r="Y8" i="2"/>
  <c r="AE20" i="2"/>
  <c r="W14" i="2" l="1"/>
  <c r="W16" i="2" s="1"/>
  <c r="W23" i="2"/>
  <c r="AA7" i="2"/>
  <c r="AA21" i="2" s="1"/>
  <c r="AB3" i="2"/>
  <c r="AB5" i="2" s="1"/>
  <c r="V14" i="2"/>
  <c r="V16" i="2" s="1"/>
  <c r="V23" i="2"/>
  <c r="X22" i="2"/>
  <c r="M14" i="2"/>
  <c r="M16" i="2" s="1"/>
  <c r="Z19" i="2"/>
  <c r="Z8" i="2"/>
  <c r="Y12" i="2"/>
  <c r="Y13" i="2" s="1"/>
  <c r="Y22" i="2"/>
  <c r="AA4" i="2"/>
  <c r="AA18" i="2"/>
  <c r="Z4" i="2"/>
  <c r="AF20" i="2"/>
  <c r="AC3" i="2" l="1"/>
  <c r="AC5" i="2" s="1"/>
  <c r="AB4" i="2"/>
  <c r="AB7" i="2"/>
  <c r="AB21" i="2" s="1"/>
  <c r="M23" i="2"/>
  <c r="X13" i="2"/>
  <c r="Y23" i="2"/>
  <c r="AB18" i="2"/>
  <c r="Z12" i="2"/>
  <c r="Z13" i="2" s="1"/>
  <c r="Z22" i="2"/>
  <c r="AA19" i="2"/>
  <c r="AA8" i="2"/>
  <c r="AG20" i="2"/>
  <c r="AD3" i="2" l="1"/>
  <c r="AD5" i="2" s="1"/>
  <c r="AC7" i="2"/>
  <c r="Z23" i="2"/>
  <c r="X14" i="2"/>
  <c r="X16" i="2" s="1"/>
  <c r="X23" i="2"/>
  <c r="AB19" i="2"/>
  <c r="AB8" i="2"/>
  <c r="AA12" i="2"/>
  <c r="AA13" i="2" s="1"/>
  <c r="AA22" i="2"/>
  <c r="AC21" i="2"/>
  <c r="AC18" i="2"/>
  <c r="Y14" i="2"/>
  <c r="AI20" i="2"/>
  <c r="AH20" i="2"/>
  <c r="Y16" i="2" l="1"/>
  <c r="AE3" i="2"/>
  <c r="AE5" i="2" s="1"/>
  <c r="AD4" i="2"/>
  <c r="AD7" i="2"/>
  <c r="AD21" i="2" s="1"/>
  <c r="AA23" i="2"/>
  <c r="Z14" i="2"/>
  <c r="AD18" i="2"/>
  <c r="AC19" i="2"/>
  <c r="AC8" i="2"/>
  <c r="AB12" i="2"/>
  <c r="AB13" i="2" s="1"/>
  <c r="AB22" i="2"/>
  <c r="AC4" i="2"/>
  <c r="Z16" i="2" l="1"/>
  <c r="AE7" i="2"/>
  <c r="AF3" i="2"/>
  <c r="AF5" i="2" s="1"/>
  <c r="AA14" i="2"/>
  <c r="AB23" i="2"/>
  <c r="AC12" i="2"/>
  <c r="AC13" i="2" s="1"/>
  <c r="AC22" i="2"/>
  <c r="AD19" i="2"/>
  <c r="AD8" i="2"/>
  <c r="AE21" i="2"/>
  <c r="AE18" i="2"/>
  <c r="AA16" i="2" l="1"/>
  <c r="AG3" i="2"/>
  <c r="AG5" i="2" s="1"/>
  <c r="AF7" i="2"/>
  <c r="AF21" i="2" s="1"/>
  <c r="AF4" i="2"/>
  <c r="AB14" i="2"/>
  <c r="AC23" i="2"/>
  <c r="AD22" i="2"/>
  <c r="AD12" i="2"/>
  <c r="AD13" i="2" s="1"/>
  <c r="AF18" i="2"/>
  <c r="AE8" i="2"/>
  <c r="AE19" i="2"/>
  <c r="AE4" i="2"/>
  <c r="AB16" i="2" l="1"/>
  <c r="AH3" i="2"/>
  <c r="AH5" i="2" s="1"/>
  <c r="AG7" i="2"/>
  <c r="AG21" i="2" s="1"/>
  <c r="AC14" i="2"/>
  <c r="AC16" i="2" s="1"/>
  <c r="AD23" i="2"/>
  <c r="AE12" i="2"/>
  <c r="AE13" i="2" s="1"/>
  <c r="AE22" i="2"/>
  <c r="AF19" i="2"/>
  <c r="AF8" i="2"/>
  <c r="AG18" i="2"/>
  <c r="AI3" i="2" l="1"/>
  <c r="AI5" i="2" s="1"/>
  <c r="AH7" i="2"/>
  <c r="AH21" i="2" s="1"/>
  <c r="AD14" i="2"/>
  <c r="AE23" i="2"/>
  <c r="AH18" i="2"/>
  <c r="AF12" i="2"/>
  <c r="AF13" i="2" s="1"/>
  <c r="AF22" i="2"/>
  <c r="AG8" i="2"/>
  <c r="AG19" i="2"/>
  <c r="AG4" i="2"/>
  <c r="AD16" i="2" l="1"/>
  <c r="AI7" i="2"/>
  <c r="AI21" i="2" s="1"/>
  <c r="AE14" i="2"/>
  <c r="AE16" i="2" s="1"/>
  <c r="AF23" i="2"/>
  <c r="AG12" i="2"/>
  <c r="AG13" i="2" s="1"/>
  <c r="AG22" i="2"/>
  <c r="AI18" i="2"/>
  <c r="AH4" i="2"/>
  <c r="AH19" i="2"/>
  <c r="AH8" i="2"/>
  <c r="AF14" i="2" l="1"/>
  <c r="AG23" i="2"/>
  <c r="AI19" i="2"/>
  <c r="AI8" i="2"/>
  <c r="AI4" i="2"/>
  <c r="AH22" i="2"/>
  <c r="AH12" i="2"/>
  <c r="AH13" i="2" s="1"/>
  <c r="AF16" i="2" l="1"/>
  <c r="AG14" i="2"/>
  <c r="AG16" i="2" s="1"/>
  <c r="AH23" i="2"/>
  <c r="AI12" i="2"/>
  <c r="AI13" i="2" s="1"/>
  <c r="AI22" i="2"/>
  <c r="AI23" i="2" l="1"/>
  <c r="AH14" i="2"/>
  <c r="AH16" i="2" l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AL21" i="2" l="1"/>
  <c r="AL23" i="2" s="1"/>
  <c r="AL24" i="2" s="1"/>
  <c r="AL26" i="2" s="1"/>
  <c r="AI16" i="2"/>
</calcChain>
</file>

<file path=xl/sharedStrings.xml><?xml version="1.0" encoding="utf-8"?>
<sst xmlns="http://schemas.openxmlformats.org/spreadsheetml/2006/main" count="59" uniqueCount="55">
  <si>
    <t>Price</t>
  </si>
  <si>
    <t>Shares</t>
  </si>
  <si>
    <t>Last checked</t>
  </si>
  <si>
    <t>Today</t>
  </si>
  <si>
    <t>Earnings</t>
  </si>
  <si>
    <t>MC</t>
  </si>
  <si>
    <t>Cash</t>
  </si>
  <si>
    <t>Debt</t>
  </si>
  <si>
    <t>Net Cash</t>
  </si>
  <si>
    <t>EV</t>
  </si>
  <si>
    <t>Q124</t>
  </si>
  <si>
    <t>Revenue</t>
  </si>
  <si>
    <t>Q224</t>
  </si>
  <si>
    <t>Q324</t>
  </si>
  <si>
    <t>Q424</t>
  </si>
  <si>
    <t>Q123</t>
  </si>
  <si>
    <t>Q223</t>
  </si>
  <si>
    <t>Q323</t>
  </si>
  <si>
    <t>Q423</t>
  </si>
  <si>
    <t>Cost of sales</t>
  </si>
  <si>
    <t>Gross profit</t>
  </si>
  <si>
    <t>R&amp;D</t>
  </si>
  <si>
    <t>SG&amp;A</t>
  </si>
  <si>
    <t>Operating profit</t>
  </si>
  <si>
    <t>Interest income</t>
  </si>
  <si>
    <t>Interest expense</t>
  </si>
  <si>
    <t>Other income</t>
  </si>
  <si>
    <t>Pretax profit</t>
  </si>
  <si>
    <t>Taxes</t>
  </si>
  <si>
    <t>Net income</t>
  </si>
  <si>
    <t>EPS</t>
  </si>
  <si>
    <t>Revenue y/y</t>
  </si>
  <si>
    <t>Gross Margin</t>
  </si>
  <si>
    <t>R&amp;D y/y</t>
  </si>
  <si>
    <t>SG&amp;A Margin</t>
  </si>
  <si>
    <t>Operating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</si>
  <si>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</si>
  <si>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</si>
  <si>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</si>
  <si>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</si>
  <si>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</si>
  <si>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</si>
  <si>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</si>
  <si>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</si>
  <si>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</si>
  <si>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Q425</t>
  </si>
  <si>
    <t>Q125</t>
  </si>
  <si>
    <t>Q225</t>
  </si>
  <si>
    <t>Q325</t>
  </si>
  <si>
    <t>Q126</t>
  </si>
  <si>
    <t>Q226</t>
  </si>
  <si>
    <t>Q326</t>
  </si>
  <si>
    <t>Q426</t>
  </si>
  <si>
    <t>Q424 8K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</si>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</sst>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0</xdr:rowOff>
    </xdr:from>
    <xdr:to>
      <xdr:col>14</xdr:col>
      <xdr:colOff>22860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929572-63C9-20C5-4BA9-40D04DB755BC}"/>
            </a:ext>
          </a:extLst>
        </xdr:cNvPr>
        <xdr:cNvCxnSpPr/>
      </xdr:nvCxnSpPr>
      <xdr:spPr>
        <a:xfrm>
          <a:off x="103632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0</xdr:row>
      <xdr:rowOff>0</xdr:rowOff>
    </xdr:from>
    <xdr:to>
      <xdr:col>24</xdr:col>
      <xdr:colOff>30480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FEA26A4-D393-F0B2-8B17-182A39C3609F}"/>
            </a:ext>
          </a:extLst>
        </xdr:cNvPr>
        <xdr:cNvCxnSpPr/>
      </xdr:nvCxnSpPr>
      <xdr:spPr>
        <a:xfrm>
          <a:off x="1692402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D5EE-4556-4CF2-BE17-4FD7D49E8731}">
  <dimension ref="C2:G9"/>
  <sheetViews>
    <sheetView workbookViewId="0">
      <selection activeCell="D4" sqref="D4"/>
    </sheetView>
  </sheetViews>
  <sheetFormatPr defaultRowHeight="14.4" x14ac:dyDescent="0.3"/>
  <cols>
    <col min="5" max="7" width="14.77734375" customWidth="1"/>
    <col min="8" max="8" width="8.88671875" customWidth="1"/>
  </cols>
  <sheetData>
    <row r="2" spans="3:7" x14ac:dyDescent="0.3">
      <c r="E2" s="2" t="s">
        <v>2</v>
      </c>
      <c r="F2" s="2" t="s">
        <v>3</v>
      </c>
      <c r="G2" s="2" t="s">
        <v>4</v>
      </c>
    </row>
    <row r="3" spans="3:7" x14ac:dyDescent="0.3">
      <c r="C3" t="s">
        <v>0</v>
      </c>
      <c r="D3" s="11">
        <v>100.63</v>
      </c>
      <c r="E3" s="3">
        <v>45755</v>
      </c>
      <c r="F3" s="3">
        <f ca="1">TODAY()</f>
        <v>45756</v>
      </c>
      <c r="G3" s="3">
        <v>45804</v>
      </c>
    </row>
    <row r="4" spans="3:7" x14ac:dyDescent="0.3">
      <c r="C4" t="s">
        <v>1</v>
      </c>
      <c r="D4" s="4">
        <v>24489</v>
      </c>
      <c r="E4" s="2" t="s">
        <v>53</v>
      </c>
    </row>
    <row r="5" spans="3:7" x14ac:dyDescent="0.3">
      <c r="C5" t="s">
        <v>5</v>
      </c>
      <c r="D5" s="4">
        <f>D3*D4</f>
        <v>2464328.0699999998</v>
      </c>
    </row>
    <row r="6" spans="3:7" x14ac:dyDescent="0.3">
      <c r="C6" t="s">
        <v>6</v>
      </c>
      <c r="D6" s="4">
        <f>43210</f>
        <v>43210</v>
      </c>
      <c r="E6" s="2" t="s">
        <v>14</v>
      </c>
    </row>
    <row r="7" spans="3:7" x14ac:dyDescent="0.3">
      <c r="C7" t="s">
        <v>7</v>
      </c>
      <c r="D7" s="4">
        <f>8463</f>
        <v>8463</v>
      </c>
      <c r="E7" s="2" t="s">
        <v>14</v>
      </c>
    </row>
    <row r="8" spans="3:7" x14ac:dyDescent="0.3">
      <c r="C8" t="s">
        <v>8</v>
      </c>
      <c r="D8" s="4">
        <f>D6-D7</f>
        <v>34747</v>
      </c>
    </row>
    <row r="9" spans="3:7" x14ac:dyDescent="0.3">
      <c r="C9" t="s">
        <v>9</v>
      </c>
      <c r="D9" s="4">
        <f>D5-D8</f>
        <v>2429581.0699999998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F2C7-7D4F-492D-8B13-6F21D4915EAB}">
  <dimension ref="A1:EQ27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L27" sqref="AL27"/>
    </sheetView>
  </sheetViews>
  <sheetFormatPr defaultRowHeight="14.4" x14ac:dyDescent="0.3"/>
  <cols>
    <col min="2" max="2" width="15.21875" bestFit="1" customWidth="1"/>
    <col min="3" max="14" width="10.5546875" bestFit="1" customWidth="1"/>
    <col min="15" max="18" width="10.5546875" customWidth="1"/>
    <col min="37" max="37" width="11.88671875" bestFit="1" customWidth="1"/>
    <col min="38" max="38" width="17.33203125" bestFit="1" customWidth="1"/>
  </cols>
  <sheetData>
    <row r="1" spans="1:147" x14ac:dyDescent="0.3">
      <c r="C1" s="1">
        <v>46142</v>
      </c>
      <c r="D1" s="1">
        <v>45869</v>
      </c>
      <c r="E1" s="1">
        <v>45594</v>
      </c>
      <c r="F1" s="1">
        <v>45320</v>
      </c>
      <c r="G1" s="1">
        <v>45046</v>
      </c>
      <c r="H1" s="1">
        <v>45137</v>
      </c>
      <c r="I1" s="1">
        <v>45227</v>
      </c>
      <c r="J1" s="1">
        <v>45319</v>
      </c>
      <c r="K1" s="1">
        <v>45410</v>
      </c>
      <c r="L1" s="1">
        <v>45501</v>
      </c>
      <c r="M1" s="1">
        <v>45593</v>
      </c>
      <c r="N1" s="1">
        <v>45685</v>
      </c>
      <c r="O1" s="1">
        <v>45775</v>
      </c>
      <c r="P1" s="1">
        <v>45866</v>
      </c>
      <c r="Q1" s="1">
        <v>45958</v>
      </c>
      <c r="R1" s="1">
        <v>46050</v>
      </c>
      <c r="S1" s="1"/>
    </row>
    <row r="2" spans="1:147" x14ac:dyDescent="0.3">
      <c r="C2" s="5" t="s">
        <v>15</v>
      </c>
      <c r="D2" s="5" t="s">
        <v>16</v>
      </c>
      <c r="E2" s="5" t="s">
        <v>17</v>
      </c>
      <c r="F2" s="5" t="s">
        <v>18</v>
      </c>
      <c r="G2" s="5" t="s">
        <v>10</v>
      </c>
      <c r="H2" s="5" t="s">
        <v>12</v>
      </c>
      <c r="I2" s="5" t="s">
        <v>13</v>
      </c>
      <c r="J2" s="5" t="s">
        <v>14</v>
      </c>
      <c r="K2" s="5" t="s">
        <v>46</v>
      </c>
      <c r="L2" s="5" t="s">
        <v>47</v>
      </c>
      <c r="M2" s="5" t="s">
        <v>48</v>
      </c>
      <c r="N2" s="5" t="s">
        <v>45</v>
      </c>
      <c r="O2" s="5" t="s">
        <v>49</v>
      </c>
      <c r="P2" s="5" t="s">
        <v>50</v>
      </c>
      <c r="Q2" s="5" t="s">
        <v>51</v>
      </c>
      <c r="R2" s="5" t="s">
        <v>52</v>
      </c>
      <c r="S2" s="5"/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</row>
    <row r="3" spans="1:147" s="7" customFormat="1" x14ac:dyDescent="0.3">
      <c r="A3"/>
      <c r="B3" s="7" t="s">
        <v>11</v>
      </c>
      <c r="C3" s="8">
        <v>8288</v>
      </c>
      <c r="D3" s="8">
        <v>6704</v>
      </c>
      <c r="E3" s="8">
        <v>5931</v>
      </c>
      <c r="F3" s="8">
        <v>6051</v>
      </c>
      <c r="G3" s="8">
        <v>7192</v>
      </c>
      <c r="H3" s="8">
        <v>13507</v>
      </c>
      <c r="I3" s="8">
        <v>18120</v>
      </c>
      <c r="J3" s="8">
        <v>22103</v>
      </c>
      <c r="K3" s="8">
        <v>26044</v>
      </c>
      <c r="L3" s="8">
        <v>30040</v>
      </c>
      <c r="M3" s="8">
        <v>35082</v>
      </c>
      <c r="N3" s="8">
        <v>39331</v>
      </c>
      <c r="O3" s="8">
        <v>43000</v>
      </c>
      <c r="P3" s="8">
        <f>L3*1.6</f>
        <v>48064</v>
      </c>
      <c r="Q3" s="8">
        <f>M3*1.5</f>
        <v>52623</v>
      </c>
      <c r="R3" s="8">
        <f>N3*1.4</f>
        <v>55063.399999999994</v>
      </c>
      <c r="S3" s="8"/>
      <c r="U3" s="8">
        <v>26914</v>
      </c>
      <c r="V3" s="8">
        <f>SUM(C3:F3)</f>
        <v>26974</v>
      </c>
      <c r="W3" s="8">
        <f>SUM(G3:J3)</f>
        <v>60922</v>
      </c>
      <c r="X3" s="8">
        <f>SUM(K3:N3)</f>
        <v>130497</v>
      </c>
      <c r="Y3" s="8">
        <f>SUM(O3:R3)</f>
        <v>198750.4</v>
      </c>
      <c r="Z3" s="8">
        <f>Y3*1.28</f>
        <v>254400.51199999999</v>
      </c>
      <c r="AA3" s="8">
        <f>Z3*1.12</f>
        <v>284928.57344000001</v>
      </c>
      <c r="AB3" s="8">
        <f>AA3*1.08</f>
        <v>307722.85931520001</v>
      </c>
      <c r="AC3" s="8">
        <f>AB3*1.05</f>
        <v>323109.00228096003</v>
      </c>
      <c r="AD3" s="8">
        <f>AC3*1.04</f>
        <v>336033.36237219843</v>
      </c>
      <c r="AE3" s="8">
        <f>AD3*1.03</f>
        <v>346114.36324336438</v>
      </c>
      <c r="AF3" s="8">
        <f t="shared" ref="AF3:AI3" si="0">AE3*1.02</f>
        <v>353036.65050823166</v>
      </c>
      <c r="AG3" s="8">
        <f t="shared" si="0"/>
        <v>360097.38351839629</v>
      </c>
      <c r="AH3" s="8">
        <f t="shared" si="0"/>
        <v>367299.33118876425</v>
      </c>
      <c r="AI3" s="8">
        <f t="shared" si="0"/>
        <v>374645.31781253952</v>
      </c>
    </row>
    <row r="4" spans="1:147" x14ac:dyDescent="0.3">
      <c r="B4" t="s">
        <v>19</v>
      </c>
      <c r="C4" s="4">
        <v>2857</v>
      </c>
      <c r="D4" s="4">
        <v>3789</v>
      </c>
      <c r="E4" s="4">
        <v>2754</v>
      </c>
      <c r="F4" s="4">
        <v>2218</v>
      </c>
      <c r="G4" s="4">
        <v>2544</v>
      </c>
      <c r="H4" s="4">
        <v>4045</v>
      </c>
      <c r="I4" s="4">
        <v>4720</v>
      </c>
      <c r="J4" s="4">
        <v>5312</v>
      </c>
      <c r="K4" s="4">
        <v>5638</v>
      </c>
      <c r="L4" s="4">
        <v>7466</v>
      </c>
      <c r="M4" s="4">
        <v>8926</v>
      </c>
      <c r="N4" s="4">
        <v>10608</v>
      </c>
      <c r="O4" s="4">
        <f>O3-O5</f>
        <v>12642</v>
      </c>
      <c r="P4" s="4">
        <f>P3-P5</f>
        <v>13457.919999999998</v>
      </c>
      <c r="Q4" s="4">
        <f t="shared" ref="Q4:R4" si="1">Q3-Q5</f>
        <v>14208.21</v>
      </c>
      <c r="R4" s="4">
        <f t="shared" si="1"/>
        <v>15417.752</v>
      </c>
      <c r="U4" s="4">
        <v>9439</v>
      </c>
      <c r="V4" s="4">
        <f>SUM(C4:F4)</f>
        <v>11618</v>
      </c>
      <c r="W4" s="4">
        <f>SUM(G4:J4)</f>
        <v>16621</v>
      </c>
      <c r="X4" s="4">
        <f>SUM(K4:N4)</f>
        <v>32638</v>
      </c>
      <c r="Y4" s="4">
        <f>SUM(O4:R4)</f>
        <v>55725.881999999998</v>
      </c>
      <c r="Z4" s="4">
        <f t="shared" ref="Z4:AI4" si="2">Z3-Z5</f>
        <v>66144.133120000013</v>
      </c>
      <c r="AA4" s="4">
        <f t="shared" si="2"/>
        <v>74081.429094399995</v>
      </c>
      <c r="AB4" s="4">
        <f t="shared" si="2"/>
        <v>80007.943421952019</v>
      </c>
      <c r="AC4" s="4">
        <f t="shared" si="2"/>
        <v>84008.340593049623</v>
      </c>
      <c r="AD4" s="4">
        <f t="shared" si="2"/>
        <v>87368.674216771586</v>
      </c>
      <c r="AE4" s="4">
        <f t="shared" si="2"/>
        <v>89989.734443274734</v>
      </c>
      <c r="AF4" s="4">
        <f t="shared" si="2"/>
        <v>91789.529132140247</v>
      </c>
      <c r="AG4" s="4">
        <f t="shared" si="2"/>
        <v>93625.319714783051</v>
      </c>
      <c r="AH4" s="4">
        <f t="shared" si="2"/>
        <v>95497.826109078713</v>
      </c>
      <c r="AI4" s="4">
        <f t="shared" si="2"/>
        <v>97407.782631260285</v>
      </c>
    </row>
    <row r="5" spans="1:147" s="7" customFormat="1" x14ac:dyDescent="0.3">
      <c r="A5"/>
      <c r="B5" s="7" t="s">
        <v>20</v>
      </c>
      <c r="C5" s="8">
        <f t="shared" ref="C5:N5" si="3">C3-C4</f>
        <v>5431</v>
      </c>
      <c r="D5" s="8">
        <f t="shared" si="3"/>
        <v>2915</v>
      </c>
      <c r="E5" s="8">
        <f t="shared" si="3"/>
        <v>3177</v>
      </c>
      <c r="F5" s="8">
        <f t="shared" si="3"/>
        <v>3833</v>
      </c>
      <c r="G5" s="8">
        <f t="shared" si="3"/>
        <v>4648</v>
      </c>
      <c r="H5" s="8">
        <f t="shared" si="3"/>
        <v>9462</v>
      </c>
      <c r="I5" s="8">
        <f t="shared" si="3"/>
        <v>13400</v>
      </c>
      <c r="J5" s="8">
        <f t="shared" si="3"/>
        <v>16791</v>
      </c>
      <c r="K5" s="8">
        <f t="shared" si="3"/>
        <v>20406</v>
      </c>
      <c r="L5" s="8">
        <f t="shared" si="3"/>
        <v>22574</v>
      </c>
      <c r="M5" s="8">
        <f t="shared" si="3"/>
        <v>26156</v>
      </c>
      <c r="N5" s="8">
        <f t="shared" si="3"/>
        <v>28723</v>
      </c>
      <c r="O5" s="8">
        <f>O3*0.706</f>
        <v>30358</v>
      </c>
      <c r="P5" s="8">
        <f>P3*0.72</f>
        <v>34606.080000000002</v>
      </c>
      <c r="Q5" s="8">
        <f>Q3*0.73</f>
        <v>38414.79</v>
      </c>
      <c r="R5" s="8">
        <f>R3*0.72</f>
        <v>39645.647999999994</v>
      </c>
      <c r="U5" s="8">
        <f>U3-U4</f>
        <v>17475</v>
      </c>
      <c r="V5" s="8">
        <f>V3-V4</f>
        <v>15356</v>
      </c>
      <c r="W5" s="8">
        <f>W3-W4</f>
        <v>44301</v>
      </c>
      <c r="X5" s="8">
        <f>X3-X4</f>
        <v>97859</v>
      </c>
      <c r="Y5" s="8">
        <f>Y3-Y4</f>
        <v>143024.51799999998</v>
      </c>
      <c r="Z5" s="8">
        <f>Z3*0.74</f>
        <v>188256.37887999997</v>
      </c>
      <c r="AA5" s="8">
        <f>AA3*0.74</f>
        <v>210847.14434560001</v>
      </c>
      <c r="AB5" s="8">
        <f t="shared" ref="AB5:AI5" si="4">AB3*0.74</f>
        <v>227714.91589324799</v>
      </c>
      <c r="AC5" s="8">
        <f t="shared" si="4"/>
        <v>239100.66168791041</v>
      </c>
      <c r="AD5" s="8">
        <f t="shared" si="4"/>
        <v>248664.68815542685</v>
      </c>
      <c r="AE5" s="8">
        <f t="shared" si="4"/>
        <v>256124.62880008965</v>
      </c>
      <c r="AF5" s="8">
        <f t="shared" si="4"/>
        <v>261247.12137609141</v>
      </c>
      <c r="AG5" s="8">
        <f t="shared" si="4"/>
        <v>266472.06380361324</v>
      </c>
      <c r="AH5" s="8">
        <f t="shared" si="4"/>
        <v>271801.50507968554</v>
      </c>
      <c r="AI5" s="8">
        <f t="shared" si="4"/>
        <v>277237.53518127924</v>
      </c>
    </row>
    <row r="6" spans="1:147" x14ac:dyDescent="0.3">
      <c r="B6" t="s">
        <v>21</v>
      </c>
      <c r="C6" s="4">
        <v>1618</v>
      </c>
      <c r="D6" s="4">
        <v>1824</v>
      </c>
      <c r="E6" s="4">
        <v>1945</v>
      </c>
      <c r="F6" s="4">
        <v>1951</v>
      </c>
      <c r="G6" s="4">
        <v>1875</v>
      </c>
      <c r="H6" s="4">
        <v>2040</v>
      </c>
      <c r="I6" s="4">
        <v>2294</v>
      </c>
      <c r="J6" s="4">
        <v>2465</v>
      </c>
      <c r="K6" s="4">
        <v>2720</v>
      </c>
      <c r="L6" s="4">
        <v>3090</v>
      </c>
      <c r="M6" s="4">
        <v>3390</v>
      </c>
      <c r="N6" s="4">
        <v>3714</v>
      </c>
      <c r="O6" s="4">
        <f>K6*1.5</f>
        <v>4080</v>
      </c>
      <c r="P6" s="4"/>
      <c r="Q6" s="4"/>
      <c r="R6" s="4"/>
      <c r="U6" s="4">
        <v>5268</v>
      </c>
      <c r="V6" s="4">
        <f>SUM(C6:F6)</f>
        <v>7338</v>
      </c>
      <c r="W6" s="4">
        <f>SUM(G6:J6)</f>
        <v>8674</v>
      </c>
      <c r="X6" s="4">
        <f>SUM(K6:N6)</f>
        <v>12914</v>
      </c>
      <c r="Y6" s="4">
        <f>X6*1.4</f>
        <v>18079.599999999999</v>
      </c>
      <c r="Z6" s="4">
        <f>Y6*1.25</f>
        <v>22599.5</v>
      </c>
      <c r="AA6" s="4">
        <f>Z6*1.15</f>
        <v>25989.424999999999</v>
      </c>
      <c r="AB6" s="4">
        <f>AA6*1.08</f>
        <v>28068.579000000002</v>
      </c>
      <c r="AC6" s="4">
        <f>AB6*1.05</f>
        <v>29472.007950000003</v>
      </c>
      <c r="AD6" s="4">
        <f>AC6*1.04</f>
        <v>30650.888268000002</v>
      </c>
      <c r="AE6" s="4">
        <f t="shared" ref="AE6:AI6" si="5">AD6*1.02</f>
        <v>31263.906033360003</v>
      </c>
      <c r="AF6" s="4">
        <f t="shared" si="5"/>
        <v>31889.184154027203</v>
      </c>
      <c r="AG6" s="4">
        <f t="shared" si="5"/>
        <v>32526.96783710775</v>
      </c>
      <c r="AH6" s="4">
        <f t="shared" si="5"/>
        <v>33177.507193849902</v>
      </c>
      <c r="AI6" s="4">
        <f t="shared" si="5"/>
        <v>33841.057337726903</v>
      </c>
    </row>
    <row r="7" spans="1:147" x14ac:dyDescent="0.3">
      <c r="B7" t="s">
        <v>22</v>
      </c>
      <c r="C7" s="4">
        <v>592</v>
      </c>
      <c r="D7" s="4">
        <v>592</v>
      </c>
      <c r="E7" s="4">
        <v>631</v>
      </c>
      <c r="F7" s="4">
        <v>625</v>
      </c>
      <c r="G7" s="4">
        <v>633</v>
      </c>
      <c r="H7" s="4">
        <v>622</v>
      </c>
      <c r="I7" s="4">
        <v>689</v>
      </c>
      <c r="J7" s="4">
        <v>711</v>
      </c>
      <c r="K7" s="4">
        <v>777</v>
      </c>
      <c r="L7" s="4">
        <v>842</v>
      </c>
      <c r="M7" s="4">
        <v>897</v>
      </c>
      <c r="N7" s="4">
        <v>975</v>
      </c>
      <c r="O7" s="4">
        <f>O3*0.025</f>
        <v>1075</v>
      </c>
      <c r="P7" s="4"/>
      <c r="Q7" s="4"/>
      <c r="R7" s="4"/>
      <c r="U7" s="4">
        <v>2166</v>
      </c>
      <c r="V7" s="4">
        <f>SUM(C7:F7)</f>
        <v>2440</v>
      </c>
      <c r="W7" s="4">
        <f>SUM(G7:J7)</f>
        <v>2655</v>
      </c>
      <c r="X7" s="4">
        <f>SUM(K7:N7)</f>
        <v>3491</v>
      </c>
      <c r="Y7" s="4">
        <f t="shared" ref="Y7:AI7" si="6">Y3*0.025</f>
        <v>4968.76</v>
      </c>
      <c r="Z7" s="4">
        <f t="shared" si="6"/>
        <v>6360.0128000000004</v>
      </c>
      <c r="AA7" s="4">
        <f t="shared" si="6"/>
        <v>7123.2143360000009</v>
      </c>
      <c r="AB7" s="4">
        <f t="shared" si="6"/>
        <v>7693.071482880001</v>
      </c>
      <c r="AC7" s="4">
        <f t="shared" si="6"/>
        <v>8077.7250570240012</v>
      </c>
      <c r="AD7" s="4">
        <f t="shared" si="6"/>
        <v>8400.8340593049616</v>
      </c>
      <c r="AE7" s="4">
        <f t="shared" si="6"/>
        <v>8652.8590810841106</v>
      </c>
      <c r="AF7" s="4">
        <f t="shared" si="6"/>
        <v>8825.9162627057922</v>
      </c>
      <c r="AG7" s="4">
        <f t="shared" si="6"/>
        <v>9002.4345879599077</v>
      </c>
      <c r="AH7" s="4">
        <f t="shared" si="6"/>
        <v>9182.4832797191066</v>
      </c>
      <c r="AI7" s="4">
        <f t="shared" si="6"/>
        <v>9366.1329453134877</v>
      </c>
    </row>
    <row r="8" spans="1:147" s="7" customFormat="1" x14ac:dyDescent="0.3">
      <c r="A8"/>
      <c r="B8" s="7" t="s">
        <v>23</v>
      </c>
      <c r="C8" s="8">
        <f t="shared" ref="C8:K8" si="7">C5-C6-C7</f>
        <v>3221</v>
      </c>
      <c r="D8" s="8">
        <f t="shared" si="7"/>
        <v>499</v>
      </c>
      <c r="E8" s="8">
        <f t="shared" si="7"/>
        <v>601</v>
      </c>
      <c r="F8" s="8">
        <f t="shared" si="7"/>
        <v>1257</v>
      </c>
      <c r="G8" s="8">
        <f t="shared" si="7"/>
        <v>2140</v>
      </c>
      <c r="H8" s="8">
        <f t="shared" si="7"/>
        <v>6800</v>
      </c>
      <c r="I8" s="8">
        <f t="shared" si="7"/>
        <v>10417</v>
      </c>
      <c r="J8" s="8">
        <f t="shared" si="7"/>
        <v>13615</v>
      </c>
      <c r="K8" s="8">
        <f t="shared" si="7"/>
        <v>16909</v>
      </c>
      <c r="L8" s="8">
        <f t="shared" ref="L8:O8" si="8">L5-L6-L7</f>
        <v>18642</v>
      </c>
      <c r="M8" s="8">
        <f t="shared" si="8"/>
        <v>21869</v>
      </c>
      <c r="N8" s="8">
        <f t="shared" si="8"/>
        <v>24034</v>
      </c>
      <c r="O8" s="8">
        <f t="shared" si="8"/>
        <v>25203</v>
      </c>
      <c r="P8" s="8"/>
      <c r="Q8" s="8"/>
      <c r="R8" s="8"/>
      <c r="U8" s="8">
        <f>U5-U6-U7</f>
        <v>10041</v>
      </c>
      <c r="V8" s="8">
        <f>V5-V6-V7</f>
        <v>5578</v>
      </c>
      <c r="W8" s="8">
        <f>W5-W6-W7</f>
        <v>32972</v>
      </c>
      <c r="X8" s="8">
        <f>X5-X6-X7</f>
        <v>81454</v>
      </c>
      <c r="Y8" s="8">
        <f t="shared" ref="Y8:AI8" si="9">Y5-Y6-Y7</f>
        <v>119976.15799999998</v>
      </c>
      <c r="Z8" s="8">
        <f t="shared" si="9"/>
        <v>159296.86607999998</v>
      </c>
      <c r="AA8" s="8">
        <f t="shared" si="9"/>
        <v>177734.50500960002</v>
      </c>
      <c r="AB8" s="8">
        <f t="shared" si="9"/>
        <v>191953.26541036798</v>
      </c>
      <c r="AC8" s="8">
        <f t="shared" si="9"/>
        <v>201550.9286808864</v>
      </c>
      <c r="AD8" s="8">
        <f t="shared" si="9"/>
        <v>209612.96582812187</v>
      </c>
      <c r="AE8" s="8">
        <f t="shared" si="9"/>
        <v>216207.86368564554</v>
      </c>
      <c r="AF8" s="8">
        <f t="shared" si="9"/>
        <v>220532.02095935843</v>
      </c>
      <c r="AG8" s="8">
        <f t="shared" si="9"/>
        <v>224942.6613785456</v>
      </c>
      <c r="AH8" s="8">
        <f t="shared" si="9"/>
        <v>229441.51460611654</v>
      </c>
      <c r="AI8" s="8">
        <f t="shared" si="9"/>
        <v>234030.34489823884</v>
      </c>
    </row>
    <row r="9" spans="1:147" x14ac:dyDescent="0.3">
      <c r="B9" t="s">
        <v>24</v>
      </c>
      <c r="C9" s="4">
        <v>-18</v>
      </c>
      <c r="D9" s="4">
        <v>-46</v>
      </c>
      <c r="E9" s="4">
        <v>-88</v>
      </c>
      <c r="F9" s="4">
        <v>-115</v>
      </c>
      <c r="G9" s="4">
        <v>-150</v>
      </c>
      <c r="H9" s="4">
        <v>-187</v>
      </c>
      <c r="I9" s="4">
        <v>-234</v>
      </c>
      <c r="J9" s="4">
        <v>-294</v>
      </c>
      <c r="K9" s="4">
        <v>-359</v>
      </c>
      <c r="L9" s="4">
        <v>-444</v>
      </c>
      <c r="M9" s="4">
        <v>-472</v>
      </c>
      <c r="N9" s="4">
        <v>-511</v>
      </c>
      <c r="O9" s="4">
        <f>N9*1.05</f>
        <v>-536.55000000000007</v>
      </c>
      <c r="P9" s="4"/>
      <c r="Q9" s="4"/>
      <c r="R9" s="4"/>
      <c r="U9" s="4">
        <v>-29</v>
      </c>
      <c r="V9" s="4">
        <f>SUM(C9:F9)</f>
        <v>-267</v>
      </c>
      <c r="W9" s="4">
        <f>SUM(G9:J9)</f>
        <v>-865</v>
      </c>
      <c r="X9" s="4">
        <f>SUM(K9:N9)</f>
        <v>-1786</v>
      </c>
      <c r="Y9" s="4">
        <f>X9*1.02</f>
        <v>-1821.72</v>
      </c>
      <c r="Z9" s="4">
        <f t="shared" ref="Z9:AI9" si="10">Y9*1.02</f>
        <v>-1858.1544000000001</v>
      </c>
      <c r="AA9" s="4">
        <f t="shared" si="10"/>
        <v>-1895.3174880000001</v>
      </c>
      <c r="AB9" s="4">
        <f t="shared" si="10"/>
        <v>-1933.2238377600002</v>
      </c>
      <c r="AC9" s="4">
        <f t="shared" si="10"/>
        <v>-1971.8883145152001</v>
      </c>
      <c r="AD9" s="4">
        <f t="shared" si="10"/>
        <v>-2011.3260808055043</v>
      </c>
      <c r="AE9" s="4">
        <f t="shared" si="10"/>
        <v>-2051.5526024216142</v>
      </c>
      <c r="AF9" s="4">
        <f t="shared" si="10"/>
        <v>-2092.5836544700464</v>
      </c>
      <c r="AG9" s="4">
        <f t="shared" si="10"/>
        <v>-2134.4353275594476</v>
      </c>
      <c r="AH9" s="4">
        <f t="shared" si="10"/>
        <v>-2177.1240341106368</v>
      </c>
      <c r="AI9" s="4">
        <f t="shared" si="10"/>
        <v>-2220.6665147928497</v>
      </c>
    </row>
    <row r="10" spans="1:147" x14ac:dyDescent="0.3">
      <c r="B10" t="s">
        <v>25</v>
      </c>
      <c r="C10" s="4">
        <v>68</v>
      </c>
      <c r="D10" s="4">
        <v>65</v>
      </c>
      <c r="E10" s="4">
        <v>65</v>
      </c>
      <c r="F10" s="4">
        <v>65</v>
      </c>
      <c r="G10" s="4">
        <v>66</v>
      </c>
      <c r="H10" s="4">
        <v>65</v>
      </c>
      <c r="I10" s="4">
        <v>63</v>
      </c>
      <c r="J10" s="4">
        <v>63</v>
      </c>
      <c r="K10" s="4">
        <v>64</v>
      </c>
      <c r="L10" s="4">
        <v>61</v>
      </c>
      <c r="M10" s="4">
        <v>61</v>
      </c>
      <c r="N10" s="4">
        <v>61</v>
      </c>
      <c r="O10" s="4">
        <v>61</v>
      </c>
      <c r="P10" s="4"/>
      <c r="Q10" s="4"/>
      <c r="R10" s="4"/>
      <c r="U10" s="4">
        <v>236</v>
      </c>
      <c r="V10" s="4">
        <f>SUM(C10:F10)</f>
        <v>263</v>
      </c>
      <c r="W10" s="4">
        <f>SUM(G10:J10)</f>
        <v>257</v>
      </c>
      <c r="X10" s="4">
        <f>SUM(K10:N10)</f>
        <v>247</v>
      </c>
      <c r="Y10" s="4">
        <f>X10*1.01</f>
        <v>249.47</v>
      </c>
      <c r="Z10" s="4">
        <f t="shared" ref="Z10:AI10" si="11">Y10*1.01</f>
        <v>251.96469999999999</v>
      </c>
      <c r="AA10" s="4">
        <f t="shared" si="11"/>
        <v>254.48434699999999</v>
      </c>
      <c r="AB10" s="4">
        <f t="shared" si="11"/>
        <v>257.02919047</v>
      </c>
      <c r="AC10" s="4">
        <f t="shared" si="11"/>
        <v>259.59948237470002</v>
      </c>
      <c r="AD10" s="4">
        <f t="shared" si="11"/>
        <v>262.19547719844701</v>
      </c>
      <c r="AE10" s="4">
        <f t="shared" si="11"/>
        <v>264.81743197043147</v>
      </c>
      <c r="AF10" s="4">
        <f t="shared" si="11"/>
        <v>267.46560629013578</v>
      </c>
      <c r="AG10" s="4">
        <f t="shared" si="11"/>
        <v>270.14026235303714</v>
      </c>
      <c r="AH10" s="4">
        <f t="shared" si="11"/>
        <v>272.84166497656753</v>
      </c>
      <c r="AI10" s="4">
        <f t="shared" si="11"/>
        <v>275.57008162633321</v>
      </c>
    </row>
    <row r="11" spans="1:147" x14ac:dyDescent="0.3">
      <c r="B11" t="s">
        <v>26</v>
      </c>
      <c r="C11" s="4">
        <f>13+1353</f>
        <v>1366</v>
      </c>
      <c r="D11" s="4">
        <v>5</v>
      </c>
      <c r="E11" s="4">
        <v>11</v>
      </c>
      <c r="F11" s="4">
        <v>18</v>
      </c>
      <c r="G11" s="4">
        <v>15</v>
      </c>
      <c r="H11" s="4">
        <v>-59</v>
      </c>
      <c r="I11" s="4">
        <v>66</v>
      </c>
      <c r="J11" s="4">
        <v>-260</v>
      </c>
      <c r="K11" s="4">
        <v>-75</v>
      </c>
      <c r="L11" s="4">
        <v>-189</v>
      </c>
      <c r="M11" s="4">
        <v>-36</v>
      </c>
      <c r="N11" s="4">
        <v>-733</v>
      </c>
      <c r="O11" s="4">
        <v>0</v>
      </c>
      <c r="P11" s="4"/>
      <c r="Q11" s="4"/>
      <c r="R11" s="4"/>
      <c r="U11" s="4">
        <v>-107</v>
      </c>
      <c r="V11" s="4">
        <f>SUM(C11:F11)</f>
        <v>1400</v>
      </c>
      <c r="W11" s="4">
        <f>SUM(G11:J11)</f>
        <v>-238</v>
      </c>
      <c r="X11" s="4">
        <f>SUM(K11:N11)</f>
        <v>-1033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147" s="7" customFormat="1" x14ac:dyDescent="0.3">
      <c r="A12"/>
      <c r="B12" s="7" t="s">
        <v>27</v>
      </c>
      <c r="C12" s="8">
        <f t="shared" ref="C12:K12" si="12">C8-C9-C10-C11</f>
        <v>1805</v>
      </c>
      <c r="D12" s="8">
        <f t="shared" si="12"/>
        <v>475</v>
      </c>
      <c r="E12" s="8">
        <f t="shared" si="12"/>
        <v>613</v>
      </c>
      <c r="F12" s="8">
        <f t="shared" si="12"/>
        <v>1289</v>
      </c>
      <c r="G12" s="8">
        <f t="shared" si="12"/>
        <v>2209</v>
      </c>
      <c r="H12" s="8">
        <f t="shared" si="12"/>
        <v>6981</v>
      </c>
      <c r="I12" s="8">
        <f t="shared" si="12"/>
        <v>10522</v>
      </c>
      <c r="J12" s="8">
        <f t="shared" si="12"/>
        <v>14106</v>
      </c>
      <c r="K12" s="8">
        <f t="shared" si="12"/>
        <v>17279</v>
      </c>
      <c r="L12" s="8">
        <f t="shared" ref="L12:O12" si="13">L8-L9-L10-L11</f>
        <v>19214</v>
      </c>
      <c r="M12" s="8">
        <f t="shared" si="13"/>
        <v>22316</v>
      </c>
      <c r="N12" s="8">
        <f t="shared" si="13"/>
        <v>25217</v>
      </c>
      <c r="O12" s="8">
        <f t="shared" si="13"/>
        <v>25678.55</v>
      </c>
      <c r="P12" s="8"/>
      <c r="Q12" s="8"/>
      <c r="R12" s="8"/>
      <c r="U12" s="8">
        <f>U8-U9-U10-U11</f>
        <v>9941</v>
      </c>
      <c r="V12" s="8">
        <f>V8-V9-V10-V11</f>
        <v>4182</v>
      </c>
      <c r="W12" s="8">
        <f>W8-W9-W10-W11</f>
        <v>33818</v>
      </c>
      <c r="X12" s="8">
        <f>X8-X9-X10-X11</f>
        <v>84026</v>
      </c>
      <c r="Y12" s="8">
        <f t="shared" ref="Y12:AI12" si="14">Y8-Y9-Y10-Y11</f>
        <v>121548.40799999998</v>
      </c>
      <c r="Z12" s="8">
        <f t="shared" si="14"/>
        <v>160903.05577999997</v>
      </c>
      <c r="AA12" s="8">
        <f t="shared" si="14"/>
        <v>179375.33815060003</v>
      </c>
      <c r="AB12" s="8">
        <f t="shared" si="14"/>
        <v>193629.46005765797</v>
      </c>
      <c r="AC12" s="8">
        <f t="shared" si="14"/>
        <v>203263.2175130269</v>
      </c>
      <c r="AD12" s="8">
        <f t="shared" si="14"/>
        <v>211362.09643172892</v>
      </c>
      <c r="AE12" s="8">
        <f t="shared" si="14"/>
        <v>217994.59885609671</v>
      </c>
      <c r="AF12" s="8">
        <f t="shared" si="14"/>
        <v>222357.13900753832</v>
      </c>
      <c r="AG12" s="8">
        <f t="shared" si="14"/>
        <v>226806.95644375202</v>
      </c>
      <c r="AH12" s="8">
        <f t="shared" si="14"/>
        <v>231345.79697525062</v>
      </c>
      <c r="AI12" s="8">
        <f t="shared" si="14"/>
        <v>235975.44133140537</v>
      </c>
    </row>
    <row r="13" spans="1:147" x14ac:dyDescent="0.3">
      <c r="B13" t="s">
        <v>28</v>
      </c>
      <c r="C13" s="4">
        <v>187</v>
      </c>
      <c r="D13" s="4">
        <v>-181</v>
      </c>
      <c r="E13" s="4">
        <v>-67</v>
      </c>
      <c r="F13" s="4">
        <v>-125</v>
      </c>
      <c r="G13" s="4">
        <v>166</v>
      </c>
      <c r="H13" s="4">
        <v>793</v>
      </c>
      <c r="I13" s="4">
        <v>1279</v>
      </c>
      <c r="J13" s="4">
        <v>1821</v>
      </c>
      <c r="K13" s="4">
        <v>2398</v>
      </c>
      <c r="L13" s="4">
        <v>2615</v>
      </c>
      <c r="M13" s="4">
        <v>3007</v>
      </c>
      <c r="N13" s="4">
        <v>3126</v>
      </c>
      <c r="O13" s="4">
        <f>O12*0.17</f>
        <v>4365.3535000000002</v>
      </c>
      <c r="P13" s="4"/>
      <c r="Q13" s="4"/>
      <c r="R13" s="4"/>
      <c r="U13" s="4">
        <v>189</v>
      </c>
      <c r="V13" s="4">
        <f>SUM(C13:F13)</f>
        <v>-186</v>
      </c>
      <c r="W13" s="4">
        <f>SUM(G13:J13)</f>
        <v>4059</v>
      </c>
      <c r="X13" s="4">
        <f>SUM(K13:N13)</f>
        <v>11146</v>
      </c>
      <c r="Y13" s="4">
        <f>Y12*0.14</f>
        <v>17016.777119999999</v>
      </c>
      <c r="Z13" s="4">
        <f t="shared" ref="Z13:AI13" si="15">Z12*0.14</f>
        <v>22526.427809199999</v>
      </c>
      <c r="AA13" s="4">
        <f t="shared" si="15"/>
        <v>25112.547341084006</v>
      </c>
      <c r="AB13" s="4">
        <f t="shared" si="15"/>
        <v>27108.124408072119</v>
      </c>
      <c r="AC13" s="4">
        <f t="shared" si="15"/>
        <v>28456.850451823768</v>
      </c>
      <c r="AD13" s="4">
        <f t="shared" si="15"/>
        <v>29590.693500442052</v>
      </c>
      <c r="AE13" s="4">
        <f t="shared" si="15"/>
        <v>30519.243839853541</v>
      </c>
      <c r="AF13" s="4">
        <f t="shared" si="15"/>
        <v>31129.999461055369</v>
      </c>
      <c r="AG13" s="4">
        <f t="shared" si="15"/>
        <v>31752.973902125286</v>
      </c>
      <c r="AH13" s="4">
        <f t="shared" si="15"/>
        <v>32388.411576535091</v>
      </c>
      <c r="AI13" s="4">
        <f t="shared" si="15"/>
        <v>33036.561786396756</v>
      </c>
    </row>
    <row r="14" spans="1:147" s="7" customFormat="1" x14ac:dyDescent="0.3">
      <c r="A14"/>
      <c r="B14" s="7" t="s">
        <v>29</v>
      </c>
      <c r="C14" s="8">
        <f t="shared" ref="C14:K14" si="16">C12-C13</f>
        <v>1618</v>
      </c>
      <c r="D14" s="8">
        <f t="shared" si="16"/>
        <v>656</v>
      </c>
      <c r="E14" s="8">
        <f t="shared" si="16"/>
        <v>680</v>
      </c>
      <c r="F14" s="8">
        <f t="shared" si="16"/>
        <v>1414</v>
      </c>
      <c r="G14" s="8">
        <f t="shared" si="16"/>
        <v>2043</v>
      </c>
      <c r="H14" s="8">
        <f t="shared" si="16"/>
        <v>6188</v>
      </c>
      <c r="I14" s="8">
        <f t="shared" si="16"/>
        <v>9243</v>
      </c>
      <c r="J14" s="8">
        <f t="shared" si="16"/>
        <v>12285</v>
      </c>
      <c r="K14" s="8">
        <f t="shared" si="16"/>
        <v>14881</v>
      </c>
      <c r="L14" s="8">
        <f t="shared" ref="L14:O14" si="17">L12-L13</f>
        <v>16599</v>
      </c>
      <c r="M14" s="8">
        <f t="shared" si="17"/>
        <v>19309</v>
      </c>
      <c r="N14" s="8">
        <f t="shared" si="17"/>
        <v>22091</v>
      </c>
      <c r="O14" s="8">
        <f t="shared" si="17"/>
        <v>21313.196499999998</v>
      </c>
      <c r="P14" s="8"/>
      <c r="Q14" s="8"/>
      <c r="R14" s="8"/>
      <c r="U14" s="8">
        <f>U12-U13</f>
        <v>9752</v>
      </c>
      <c r="V14" s="8">
        <f>V12-V13</f>
        <v>4368</v>
      </c>
      <c r="W14" s="8">
        <f>W12-W13</f>
        <v>29759</v>
      </c>
      <c r="X14" s="8">
        <f>X12-X13</f>
        <v>72880</v>
      </c>
      <c r="Y14" s="8">
        <f t="shared" ref="Y14:AI14" si="18">Y12-Y13</f>
        <v>104531.63087999998</v>
      </c>
      <c r="Z14" s="8">
        <f t="shared" si="18"/>
        <v>138376.62797079998</v>
      </c>
      <c r="AA14" s="8">
        <f t="shared" si="18"/>
        <v>154262.79080951604</v>
      </c>
      <c r="AB14" s="8">
        <f t="shared" si="18"/>
        <v>166521.33564958585</v>
      </c>
      <c r="AC14" s="8">
        <f t="shared" si="18"/>
        <v>174806.36706120314</v>
      </c>
      <c r="AD14" s="8">
        <f t="shared" si="18"/>
        <v>181771.40293128687</v>
      </c>
      <c r="AE14" s="8">
        <f t="shared" si="18"/>
        <v>187475.35501624318</v>
      </c>
      <c r="AF14" s="8">
        <f t="shared" si="18"/>
        <v>191227.13954648294</v>
      </c>
      <c r="AG14" s="8">
        <f t="shared" si="18"/>
        <v>195053.98254162673</v>
      </c>
      <c r="AH14" s="8">
        <f t="shared" si="18"/>
        <v>198957.38539871553</v>
      </c>
      <c r="AI14" s="8">
        <f t="shared" si="18"/>
        <v>202938.87954500862</v>
      </c>
      <c r="AJ14" s="7">
        <f>AI14*($AL$19+1)</f>
        <v>200909.49074955852</v>
      </c>
      <c r="AK14" s="7">
        <f t="shared" ref="AK14:CV14" si="19">AJ14*($AL$19+1)</f>
        <v>198900.39584206292</v>
      </c>
      <c r="AL14" s="7">
        <f t="shared" si="19"/>
        <v>196911.3918836423</v>
      </c>
      <c r="AM14" s="7">
        <f t="shared" si="19"/>
        <v>194942.27796480586</v>
      </c>
      <c r="AN14" s="7">
        <f t="shared" si="19"/>
        <v>192992.85518515779</v>
      </c>
      <c r="AO14" s="7">
        <f t="shared" si="19"/>
        <v>191062.92663330623</v>
      </c>
      <c r="AP14" s="7">
        <f t="shared" si="19"/>
        <v>189152.29736697316</v>
      </c>
      <c r="AQ14" s="7">
        <f t="shared" si="19"/>
        <v>187260.77439330344</v>
      </c>
      <c r="AR14" s="7">
        <f t="shared" si="19"/>
        <v>185388.1666493704</v>
      </c>
      <c r="AS14" s="7">
        <f t="shared" si="19"/>
        <v>183534.28498287668</v>
      </c>
      <c r="AT14" s="7">
        <f t="shared" si="19"/>
        <v>181698.94213304791</v>
      </c>
      <c r="AU14" s="7">
        <f t="shared" si="19"/>
        <v>179881.95271171743</v>
      </c>
      <c r="AV14" s="7">
        <f t="shared" si="19"/>
        <v>178083.13318460024</v>
      </c>
      <c r="AW14" s="7">
        <f t="shared" si="19"/>
        <v>176302.30185275423</v>
      </c>
      <c r="AX14" s="7">
        <f t="shared" si="19"/>
        <v>174539.27883422669</v>
      </c>
      <c r="AY14" s="7">
        <f t="shared" si="19"/>
        <v>172793.88604588443</v>
      </c>
      <c r="AZ14" s="7">
        <f t="shared" si="19"/>
        <v>171065.94718542558</v>
      </c>
      <c r="BA14" s="7">
        <f t="shared" si="19"/>
        <v>169355.28771357134</v>
      </c>
      <c r="BB14" s="7">
        <f t="shared" si="19"/>
        <v>167661.73483643561</v>
      </c>
      <c r="BC14" s="7">
        <f t="shared" si="19"/>
        <v>165985.11748807126</v>
      </c>
      <c r="BD14" s="7">
        <f t="shared" si="19"/>
        <v>164325.26631319054</v>
      </c>
      <c r="BE14" s="7">
        <f t="shared" si="19"/>
        <v>162682.01365005862</v>
      </c>
      <c r="BF14" s="7">
        <f t="shared" si="19"/>
        <v>161055.19351355804</v>
      </c>
      <c r="BG14" s="7">
        <f t="shared" si="19"/>
        <v>159444.64157842245</v>
      </c>
      <c r="BH14" s="7">
        <f t="shared" si="19"/>
        <v>157850.19516263824</v>
      </c>
      <c r="BI14" s="7">
        <f t="shared" si="19"/>
        <v>156271.69321101185</v>
      </c>
      <c r="BJ14" s="7">
        <f t="shared" si="19"/>
        <v>154708.97627890174</v>
      </c>
      <c r="BK14" s="7">
        <f t="shared" si="19"/>
        <v>153161.88651611272</v>
      </c>
      <c r="BL14" s="7">
        <f t="shared" si="19"/>
        <v>151630.2676509516</v>
      </c>
      <c r="BM14" s="7">
        <f t="shared" si="19"/>
        <v>150113.96497444209</v>
      </c>
      <c r="BN14" s="7">
        <f t="shared" si="19"/>
        <v>148612.82532469765</v>
      </c>
      <c r="BO14" s="7">
        <f t="shared" si="19"/>
        <v>147126.69707145068</v>
      </c>
      <c r="BP14" s="7">
        <f t="shared" si="19"/>
        <v>145655.43010073618</v>
      </c>
      <c r="BQ14" s="7">
        <f t="shared" si="19"/>
        <v>144198.87579972882</v>
      </c>
      <c r="BR14" s="7">
        <f t="shared" si="19"/>
        <v>142756.88704173153</v>
      </c>
      <c r="BS14" s="7">
        <f t="shared" si="19"/>
        <v>141329.31817131423</v>
      </c>
      <c r="BT14" s="7">
        <f t="shared" si="19"/>
        <v>139916.02498960108</v>
      </c>
      <c r="BU14" s="7">
        <f t="shared" si="19"/>
        <v>138516.86473970508</v>
      </c>
      <c r="BV14" s="7">
        <f t="shared" si="19"/>
        <v>137131.69609230803</v>
      </c>
      <c r="BW14" s="7">
        <f t="shared" si="19"/>
        <v>135760.37913138495</v>
      </c>
      <c r="BX14" s="7">
        <f t="shared" si="19"/>
        <v>134402.77534007109</v>
      </c>
      <c r="BY14" s="7">
        <f t="shared" si="19"/>
        <v>133058.74758667039</v>
      </c>
      <c r="BZ14" s="7">
        <f t="shared" si="19"/>
        <v>131728.16011080367</v>
      </c>
      <c r="CA14" s="7">
        <f t="shared" si="19"/>
        <v>130410.87850969563</v>
      </c>
      <c r="CB14" s="7">
        <f t="shared" si="19"/>
        <v>129106.76972459866</v>
      </c>
      <c r="CC14" s="7">
        <f t="shared" si="19"/>
        <v>127815.70202735267</v>
      </c>
      <c r="CD14" s="7">
        <f t="shared" si="19"/>
        <v>126537.54500707914</v>
      </c>
      <c r="CE14" s="7">
        <f t="shared" si="19"/>
        <v>125272.16955700835</v>
      </c>
      <c r="CF14" s="7">
        <f t="shared" si="19"/>
        <v>124019.44786143827</v>
      </c>
      <c r="CG14" s="7">
        <f t="shared" si="19"/>
        <v>122779.25338282388</v>
      </c>
      <c r="CH14" s="7">
        <f t="shared" si="19"/>
        <v>121551.46084899564</v>
      </c>
      <c r="CI14" s="7">
        <f t="shared" si="19"/>
        <v>120335.94624050568</v>
      </c>
      <c r="CJ14" s="7">
        <f t="shared" si="19"/>
        <v>119132.58677810062</v>
      </c>
      <c r="CK14" s="7">
        <f t="shared" si="19"/>
        <v>117941.26091031962</v>
      </c>
      <c r="CL14" s="7">
        <f t="shared" si="19"/>
        <v>116761.84830121642</v>
      </c>
      <c r="CM14" s="7">
        <f t="shared" si="19"/>
        <v>115594.22981820426</v>
      </c>
      <c r="CN14" s="7">
        <f t="shared" si="19"/>
        <v>114438.28752002222</v>
      </c>
      <c r="CO14" s="7">
        <f t="shared" si="19"/>
        <v>113293.90464482199</v>
      </c>
      <c r="CP14" s="7">
        <f t="shared" si="19"/>
        <v>112160.96559837376</v>
      </c>
      <c r="CQ14" s="7">
        <f t="shared" si="19"/>
        <v>111039.35594239003</v>
      </c>
      <c r="CR14" s="7">
        <f t="shared" si="19"/>
        <v>109928.96238296613</v>
      </c>
      <c r="CS14" s="7">
        <f t="shared" si="19"/>
        <v>108829.67275913646</v>
      </c>
      <c r="CT14" s="7">
        <f t="shared" si="19"/>
        <v>107741.37603154509</v>
      </c>
      <c r="CU14" s="7">
        <f t="shared" si="19"/>
        <v>106663.96227122964</v>
      </c>
      <c r="CV14" s="7">
        <f t="shared" si="19"/>
        <v>105597.32264851734</v>
      </c>
      <c r="CW14" s="7">
        <f t="shared" ref="CW14:EQ14" si="20">CV14*($AL$19+1)</f>
        <v>104541.34942203216</v>
      </c>
      <c r="CX14" s="7">
        <f t="shared" si="20"/>
        <v>103495.93592781184</v>
      </c>
      <c r="CY14" s="7">
        <f t="shared" si="20"/>
        <v>102460.97656853372</v>
      </c>
      <c r="CZ14" s="7">
        <f t="shared" si="20"/>
        <v>101436.36680284838</v>
      </c>
      <c r="DA14" s="7">
        <f t="shared" si="20"/>
        <v>100422.0031348199</v>
      </c>
      <c r="DB14" s="7">
        <f t="shared" si="20"/>
        <v>99417.783103471695</v>
      </c>
      <c r="DC14" s="7">
        <f t="shared" si="20"/>
        <v>98423.60527243698</v>
      </c>
      <c r="DD14" s="7">
        <f t="shared" si="20"/>
        <v>97439.369219712607</v>
      </c>
      <c r="DE14" s="7">
        <f t="shared" si="20"/>
        <v>96464.975527515475</v>
      </c>
      <c r="DF14" s="7">
        <f t="shared" si="20"/>
        <v>95500.325772240321</v>
      </c>
      <c r="DG14" s="7">
        <f t="shared" si="20"/>
        <v>94545.322514517917</v>
      </c>
      <c r="DH14" s="7">
        <f t="shared" si="20"/>
        <v>93599.869289372742</v>
      </c>
      <c r="DI14" s="7">
        <f t="shared" si="20"/>
        <v>92663.870596479013</v>
      </c>
      <c r="DJ14" s="7">
        <f t="shared" si="20"/>
        <v>91737.231890514217</v>
      </c>
      <c r="DK14" s="7">
        <f t="shared" si="20"/>
        <v>90819.859571609079</v>
      </c>
      <c r="DL14" s="7">
        <f t="shared" si="20"/>
        <v>89911.660975892984</v>
      </c>
      <c r="DM14" s="7">
        <f t="shared" si="20"/>
        <v>89012.544366134054</v>
      </c>
      <c r="DN14" s="7">
        <f t="shared" si="20"/>
        <v>88122.418922472716</v>
      </c>
      <c r="DO14" s="7">
        <f t="shared" si="20"/>
        <v>87241.19473324799</v>
      </c>
      <c r="DP14" s="7">
        <f t="shared" si="20"/>
        <v>86368.782785915508</v>
      </c>
      <c r="DQ14" s="7">
        <f t="shared" si="20"/>
        <v>85505.094958056347</v>
      </c>
      <c r="DR14" s="7">
        <f t="shared" si="20"/>
        <v>84650.044008475787</v>
      </c>
      <c r="DS14" s="7">
        <f t="shared" si="20"/>
        <v>83803.543568391033</v>
      </c>
      <c r="DT14" s="7">
        <f t="shared" si="20"/>
        <v>82965.508132707124</v>
      </c>
      <c r="DU14" s="7">
        <f t="shared" si="20"/>
        <v>82135.853051380051</v>
      </c>
      <c r="DV14" s="7">
        <f t="shared" si="20"/>
        <v>81314.494520866254</v>
      </c>
      <c r="DW14" s="7">
        <f t="shared" si="20"/>
        <v>80501.349575657587</v>
      </c>
      <c r="DX14" s="7">
        <f t="shared" si="20"/>
        <v>79696.336079901012</v>
      </c>
      <c r="DY14" s="7">
        <f t="shared" si="20"/>
        <v>78899.372719102001</v>
      </c>
      <c r="DZ14" s="7">
        <f t="shared" si="20"/>
        <v>78110.378991910984</v>
      </c>
      <c r="EA14" s="7">
        <f t="shared" si="20"/>
        <v>77329.27520199187</v>
      </c>
      <c r="EB14" s="7">
        <f t="shared" si="20"/>
        <v>76555.982449971954</v>
      </c>
      <c r="EC14" s="7">
        <f t="shared" si="20"/>
        <v>75790.422625472231</v>
      </c>
      <c r="ED14" s="7">
        <f t="shared" si="20"/>
        <v>75032.518399217501</v>
      </c>
      <c r="EE14" s="7">
        <f t="shared" si="20"/>
        <v>74282.193215225328</v>
      </c>
      <c r="EF14" s="7">
        <f t="shared" si="20"/>
        <v>73539.37128307308</v>
      </c>
      <c r="EG14" s="7">
        <f t="shared" si="20"/>
        <v>72803.97757024235</v>
      </c>
      <c r="EH14" s="7">
        <f t="shared" si="20"/>
        <v>72075.937794539932</v>
      </c>
      <c r="EI14" s="7">
        <f t="shared" si="20"/>
        <v>71355.178416594528</v>
      </c>
      <c r="EJ14" s="7">
        <f t="shared" si="20"/>
        <v>70641.626632428583</v>
      </c>
      <c r="EK14" s="7">
        <f t="shared" si="20"/>
        <v>69935.210366104293</v>
      </c>
      <c r="EL14" s="7">
        <f t="shared" si="20"/>
        <v>69235.858262443246</v>
      </c>
      <c r="EM14" s="7">
        <f t="shared" si="20"/>
        <v>68543.499679818808</v>
      </c>
      <c r="EN14" s="7">
        <f t="shared" si="20"/>
        <v>67858.064683020624</v>
      </c>
      <c r="EO14" s="7">
        <f t="shared" si="20"/>
        <v>67179.484036190421</v>
      </c>
      <c r="EP14" s="7">
        <f t="shared" si="20"/>
        <v>66507.689195828512</v>
      </c>
      <c r="EQ14" s="7">
        <f t="shared" si="20"/>
        <v>65842.612303870221</v>
      </c>
    </row>
    <row r="15" spans="1:147" x14ac:dyDescent="0.3">
      <c r="B15" t="s">
        <v>1</v>
      </c>
      <c r="C15" s="4">
        <v>2470</v>
      </c>
      <c r="D15" s="4">
        <v>2470</v>
      </c>
      <c r="E15" s="4">
        <v>2470</v>
      </c>
      <c r="F15" s="4">
        <v>2470</v>
      </c>
      <c r="G15" s="4">
        <v>2470</v>
      </c>
      <c r="H15" s="4">
        <v>2470</v>
      </c>
      <c r="I15" s="4">
        <v>2470</v>
      </c>
      <c r="J15" s="4">
        <v>2470</v>
      </c>
      <c r="K15" s="4">
        <v>2462</v>
      </c>
      <c r="L15" s="4">
        <v>24530</v>
      </c>
      <c r="M15" s="4">
        <v>24490</v>
      </c>
      <c r="N15" s="4">
        <v>24490</v>
      </c>
      <c r="O15" s="4">
        <v>24489</v>
      </c>
      <c r="P15" s="4"/>
      <c r="Q15" s="4"/>
      <c r="R15" s="4"/>
      <c r="U15" s="4">
        <v>2462</v>
      </c>
      <c r="V15" s="4">
        <v>2462</v>
      </c>
      <c r="W15" s="4">
        <v>2462</v>
      </c>
      <c r="X15" s="4">
        <v>24489</v>
      </c>
      <c r="Y15" s="4">
        <v>24489</v>
      </c>
      <c r="Z15" s="4">
        <v>24489</v>
      </c>
      <c r="AA15" s="4">
        <v>24489</v>
      </c>
      <c r="AB15" s="4">
        <v>24489</v>
      </c>
      <c r="AC15" s="4">
        <v>24489</v>
      </c>
      <c r="AD15" s="4">
        <v>24489</v>
      </c>
      <c r="AE15" s="4">
        <v>24489</v>
      </c>
      <c r="AF15" s="4">
        <v>24489</v>
      </c>
      <c r="AG15" s="4">
        <v>24489</v>
      </c>
      <c r="AH15" s="4">
        <v>24489</v>
      </c>
      <c r="AI15" s="4">
        <v>24489</v>
      </c>
    </row>
    <row r="16" spans="1:147" x14ac:dyDescent="0.3">
      <c r="B16" t="s">
        <v>30</v>
      </c>
      <c r="C16" s="6">
        <f t="shared" ref="C16:K16" si="21">C14/C15</f>
        <v>0.65506072874493926</v>
      </c>
      <c r="D16" s="6">
        <f t="shared" si="21"/>
        <v>0.26558704453441295</v>
      </c>
      <c r="E16" s="6">
        <f t="shared" si="21"/>
        <v>0.27530364372469635</v>
      </c>
      <c r="F16" s="6">
        <f t="shared" si="21"/>
        <v>0.57246963562753039</v>
      </c>
      <c r="G16" s="6">
        <f t="shared" si="21"/>
        <v>0.82712550607287449</v>
      </c>
      <c r="H16" s="6">
        <f t="shared" si="21"/>
        <v>2.5052631578947366</v>
      </c>
      <c r="I16" s="6">
        <f t="shared" si="21"/>
        <v>3.7421052631578946</v>
      </c>
      <c r="J16" s="6">
        <f t="shared" si="21"/>
        <v>4.9736842105263159</v>
      </c>
      <c r="K16" s="6">
        <f t="shared" si="21"/>
        <v>6.0442729488220959</v>
      </c>
      <c r="L16" s="6">
        <f t="shared" ref="L16:O16" si="22">L14/L15</f>
        <v>0.67668161434977581</v>
      </c>
      <c r="M16" s="6">
        <f t="shared" si="22"/>
        <v>0.78844426296447534</v>
      </c>
      <c r="N16" s="6">
        <f t="shared" si="22"/>
        <v>0.90204164965291955</v>
      </c>
      <c r="O16" s="6">
        <f t="shared" si="22"/>
        <v>0.87031714239046098</v>
      </c>
      <c r="P16" s="6"/>
      <c r="Q16" s="6"/>
      <c r="R16" s="6"/>
      <c r="U16" s="6">
        <f>U14/U15</f>
        <v>3.9610073111291633</v>
      </c>
      <c r="V16" s="6">
        <f>V14/V15</f>
        <v>1.7741673436230707</v>
      </c>
      <c r="W16" s="6">
        <f>W14/W15</f>
        <v>12.087327376116978</v>
      </c>
      <c r="X16" s="6">
        <f>X14/X15</f>
        <v>2.9760300543100984</v>
      </c>
      <c r="Y16" s="6">
        <f t="shared" ref="Y16:AI16" si="23">Y14/Y15</f>
        <v>4.2685136542937636</v>
      </c>
      <c r="Z16" s="6">
        <f t="shared" si="23"/>
        <v>5.6505626187594418</v>
      </c>
      <c r="AA16" s="6">
        <f t="shared" si="23"/>
        <v>6.2992686842874779</v>
      </c>
      <c r="AB16" s="6">
        <f t="shared" si="23"/>
        <v>6.7998422005629404</v>
      </c>
      <c r="AC16" s="6">
        <f t="shared" si="23"/>
        <v>7.1381586451550962</v>
      </c>
      <c r="AD16" s="6">
        <f t="shared" si="23"/>
        <v>7.42257352000028</v>
      </c>
      <c r="AE16" s="6">
        <f t="shared" si="23"/>
        <v>7.6554924666684299</v>
      </c>
      <c r="AF16" s="6">
        <f t="shared" si="23"/>
        <v>7.8086953140790945</v>
      </c>
      <c r="AG16" s="6">
        <f t="shared" si="23"/>
        <v>7.9649631484187484</v>
      </c>
      <c r="AH16" s="6">
        <f t="shared" si="23"/>
        <v>8.1243572787257765</v>
      </c>
      <c r="AI16" s="6">
        <f t="shared" si="23"/>
        <v>8.2869402403123296</v>
      </c>
    </row>
    <row r="18" spans="1:38" s="7" customFormat="1" x14ac:dyDescent="0.3">
      <c r="A18"/>
      <c r="B18" s="7" t="s">
        <v>31</v>
      </c>
      <c r="G18" s="9">
        <f>G3/C3-1</f>
        <v>-0.13223938223938225</v>
      </c>
      <c r="H18" s="9">
        <f t="shared" ref="H18:N18" si="24">H3/D3-1</f>
        <v>1.0147673031026252</v>
      </c>
      <c r="I18" s="9">
        <f t="shared" si="24"/>
        <v>2.0551340414769852</v>
      </c>
      <c r="J18" s="9">
        <f t="shared" si="24"/>
        <v>2.6527846636919516</v>
      </c>
      <c r="K18" s="9">
        <f t="shared" si="24"/>
        <v>2.6212458286985538</v>
      </c>
      <c r="L18" s="9">
        <f t="shared" si="24"/>
        <v>1.2240319834160065</v>
      </c>
      <c r="M18" s="9">
        <f t="shared" si="24"/>
        <v>0.93609271523178816</v>
      </c>
      <c r="N18" s="9">
        <f t="shared" si="24"/>
        <v>0.77944170474596208</v>
      </c>
      <c r="O18" s="9">
        <f t="shared" ref="O18" si="25">O3/K3-1</f>
        <v>0.65105206573491015</v>
      </c>
      <c r="P18" s="9">
        <f t="shared" ref="P18" si="26">P3/L3-1</f>
        <v>0.60000000000000009</v>
      </c>
      <c r="Q18" s="9">
        <f t="shared" ref="Q18" si="27">Q3/M3-1</f>
        <v>0.5</v>
      </c>
      <c r="R18" s="9">
        <f t="shared" ref="R18" si="28">R3/N3-1</f>
        <v>0.39999999999999991</v>
      </c>
      <c r="U18" s="9"/>
      <c r="V18" s="9">
        <f>V3/U3-1</f>
        <v>2.2293230289069932E-3</v>
      </c>
      <c r="W18" s="9">
        <f t="shared" ref="W18:AI18" si="29">W3/V3-1</f>
        <v>1.2585452658115224</v>
      </c>
      <c r="X18" s="9">
        <f t="shared" si="29"/>
        <v>1.1420340763599355</v>
      </c>
      <c r="Y18" s="9">
        <f t="shared" si="29"/>
        <v>0.52302658298658211</v>
      </c>
      <c r="Z18" s="9">
        <f t="shared" si="29"/>
        <v>0.28000000000000003</v>
      </c>
      <c r="AA18" s="9">
        <f t="shared" si="29"/>
        <v>0.12000000000000011</v>
      </c>
      <c r="AB18" s="9">
        <f t="shared" si="29"/>
        <v>8.0000000000000071E-2</v>
      </c>
      <c r="AC18" s="9">
        <f t="shared" si="29"/>
        <v>5.0000000000000044E-2</v>
      </c>
      <c r="AD18" s="9">
        <f t="shared" si="29"/>
        <v>4.0000000000000036E-2</v>
      </c>
      <c r="AE18" s="9">
        <f t="shared" si="29"/>
        <v>3.0000000000000027E-2</v>
      </c>
      <c r="AF18" s="9">
        <f t="shared" si="29"/>
        <v>2.0000000000000018E-2</v>
      </c>
      <c r="AG18" s="9">
        <f t="shared" si="29"/>
        <v>2.0000000000000018E-2</v>
      </c>
      <c r="AH18" s="9">
        <f t="shared" si="29"/>
        <v>2.0000000000000018E-2</v>
      </c>
      <c r="AI18" s="9">
        <f t="shared" si="29"/>
        <v>2.0000000000000018E-2</v>
      </c>
    </row>
    <row r="19" spans="1:38" x14ac:dyDescent="0.3">
      <c r="B19" t="s">
        <v>32</v>
      </c>
      <c r="C19" s="10">
        <f t="shared" ref="C19:F19" si="30">C5/C3</f>
        <v>0.65528474903474898</v>
      </c>
      <c r="D19" s="10">
        <f t="shared" si="30"/>
        <v>0.43481503579952269</v>
      </c>
      <c r="E19" s="10">
        <f t="shared" si="30"/>
        <v>0.53566009104704093</v>
      </c>
      <c r="F19" s="10">
        <f t="shared" si="30"/>
        <v>0.63344901669145592</v>
      </c>
      <c r="G19" s="10">
        <f>G5/G3</f>
        <v>0.64627363737486099</v>
      </c>
      <c r="H19" s="10">
        <f t="shared" ref="H19:N19" si="31">H5/H3</f>
        <v>0.7005256533649219</v>
      </c>
      <c r="I19" s="10">
        <f t="shared" si="31"/>
        <v>0.73951434878587197</v>
      </c>
      <c r="J19" s="10">
        <f t="shared" si="31"/>
        <v>0.75967063294575399</v>
      </c>
      <c r="K19" s="10">
        <f t="shared" si="31"/>
        <v>0.78352019659038552</v>
      </c>
      <c r="L19" s="10">
        <f t="shared" si="31"/>
        <v>0.75146471371504664</v>
      </c>
      <c r="M19" s="10">
        <f t="shared" si="31"/>
        <v>0.74556752750698363</v>
      </c>
      <c r="N19" s="10">
        <f t="shared" si="31"/>
        <v>0.73028908494571709</v>
      </c>
      <c r="O19" s="10">
        <f t="shared" ref="O19:R19" si="32">O5/O3</f>
        <v>0.70599999999999996</v>
      </c>
      <c r="P19" s="10">
        <f t="shared" si="32"/>
        <v>0.72000000000000008</v>
      </c>
      <c r="Q19" s="10">
        <f t="shared" si="32"/>
        <v>0.73</v>
      </c>
      <c r="R19" s="10">
        <f t="shared" si="32"/>
        <v>0.72</v>
      </c>
      <c r="U19" s="10">
        <f t="shared" ref="U19:V19" si="33">U5/U3</f>
        <v>0.64929033216913135</v>
      </c>
      <c r="V19" s="10">
        <f t="shared" si="33"/>
        <v>0.56928894490991322</v>
      </c>
      <c r="W19" s="10">
        <f t="shared" ref="W19:AI19" si="34">W5/W3</f>
        <v>0.72717573290436954</v>
      </c>
      <c r="X19" s="10">
        <f t="shared" si="34"/>
        <v>0.74989463359310937</v>
      </c>
      <c r="Y19" s="10">
        <f t="shared" si="34"/>
        <v>0.71961876806285663</v>
      </c>
      <c r="Z19" s="10">
        <f t="shared" si="34"/>
        <v>0.74</v>
      </c>
      <c r="AA19" s="10">
        <f t="shared" si="34"/>
        <v>0.74</v>
      </c>
      <c r="AB19" s="10">
        <f t="shared" si="34"/>
        <v>0.74</v>
      </c>
      <c r="AC19" s="10">
        <f t="shared" si="34"/>
        <v>0.74</v>
      </c>
      <c r="AD19" s="10">
        <f t="shared" si="34"/>
        <v>0.74</v>
      </c>
      <c r="AE19" s="10">
        <f t="shared" si="34"/>
        <v>0.74</v>
      </c>
      <c r="AF19" s="10">
        <f t="shared" si="34"/>
        <v>0.74</v>
      </c>
      <c r="AG19" s="10">
        <f t="shared" si="34"/>
        <v>0.74</v>
      </c>
      <c r="AH19" s="10">
        <f t="shared" si="34"/>
        <v>0.74</v>
      </c>
      <c r="AI19" s="10">
        <f t="shared" si="34"/>
        <v>0.74</v>
      </c>
      <c r="AK19" t="s">
        <v>36</v>
      </c>
      <c r="AL19" s="10">
        <v>-0.01</v>
      </c>
    </row>
    <row r="20" spans="1:38" x14ac:dyDescent="0.3">
      <c r="B20" t="s">
        <v>33</v>
      </c>
      <c r="C20" s="10"/>
      <c r="D20" s="10"/>
      <c r="E20" s="10"/>
      <c r="F20" s="10"/>
      <c r="G20" s="10">
        <f>G6/C6-1</f>
        <v>0.15883807169344877</v>
      </c>
      <c r="H20" s="10">
        <f t="shared" ref="H20:N20" si="35">H6/D6-1</f>
        <v>0.11842105263157898</v>
      </c>
      <c r="I20" s="10">
        <f t="shared" si="35"/>
        <v>0.17943444730077118</v>
      </c>
      <c r="J20" s="10">
        <f t="shared" si="35"/>
        <v>0.26345463864684771</v>
      </c>
      <c r="K20" s="10">
        <f t="shared" si="35"/>
        <v>0.45066666666666677</v>
      </c>
      <c r="L20" s="10">
        <f t="shared" si="35"/>
        <v>0.51470588235294112</v>
      </c>
      <c r="M20" s="10">
        <f t="shared" si="35"/>
        <v>0.47776809067131643</v>
      </c>
      <c r="N20" s="10">
        <f t="shared" si="35"/>
        <v>0.50669371196754565</v>
      </c>
      <c r="O20" s="10">
        <f t="shared" ref="O20" si="36">O6/K6-1</f>
        <v>0.5</v>
      </c>
      <c r="P20" s="10">
        <f t="shared" ref="P20" si="37">P6/L6-1</f>
        <v>-1</v>
      </c>
      <c r="Q20" s="10">
        <f t="shared" ref="Q20" si="38">Q6/M6-1</f>
        <v>-1</v>
      </c>
      <c r="R20" s="10">
        <f t="shared" ref="R20" si="39">R6/N6-1</f>
        <v>-1</v>
      </c>
      <c r="U20" s="10"/>
      <c r="V20" s="10">
        <f>V6/U6-1</f>
        <v>0.3929384965831435</v>
      </c>
      <c r="W20" s="10">
        <f t="shared" ref="W20:AI20" si="40">W6/V6-1</f>
        <v>0.18206595802671033</v>
      </c>
      <c r="X20" s="10">
        <f t="shared" si="40"/>
        <v>0.4888171547152409</v>
      </c>
      <c r="Y20" s="10">
        <f t="shared" si="40"/>
        <v>0.39999999999999991</v>
      </c>
      <c r="Z20" s="10">
        <f t="shared" si="40"/>
        <v>0.25</v>
      </c>
      <c r="AA20" s="10">
        <f t="shared" si="40"/>
        <v>0.14999999999999991</v>
      </c>
      <c r="AB20" s="10">
        <f t="shared" si="40"/>
        <v>8.0000000000000071E-2</v>
      </c>
      <c r="AC20" s="10">
        <f t="shared" si="40"/>
        <v>5.0000000000000044E-2</v>
      </c>
      <c r="AD20" s="10">
        <f t="shared" si="40"/>
        <v>4.0000000000000036E-2</v>
      </c>
      <c r="AE20" s="10">
        <f t="shared" si="40"/>
        <v>2.0000000000000018E-2</v>
      </c>
      <c r="AF20" s="10">
        <f t="shared" si="40"/>
        <v>2.0000000000000018E-2</v>
      </c>
      <c r="AG20" s="10">
        <f t="shared" si="40"/>
        <v>2.0000000000000018E-2</v>
      </c>
      <c r="AH20" s="10">
        <f t="shared" si="40"/>
        <v>2.0000000000000018E-2</v>
      </c>
      <c r="AI20" s="10">
        <f t="shared" si="40"/>
        <v>2.0000000000000018E-2</v>
      </c>
      <c r="AK20" t="s">
        <v>37</v>
      </c>
      <c r="AL20" s="10">
        <v>0.05</v>
      </c>
    </row>
    <row r="21" spans="1:38" x14ac:dyDescent="0.3">
      <c r="B21" t="s">
        <v>34</v>
      </c>
      <c r="C21" s="10">
        <f t="shared" ref="C21:F21" si="41">C7/C3</f>
        <v>7.1428571428571425E-2</v>
      </c>
      <c r="D21" s="10">
        <f t="shared" si="41"/>
        <v>8.83054892601432E-2</v>
      </c>
      <c r="E21" s="10">
        <f t="shared" si="41"/>
        <v>0.1063901534311246</v>
      </c>
      <c r="F21" s="10">
        <f t="shared" si="41"/>
        <v>0.10328871260948604</v>
      </c>
      <c r="G21" s="10">
        <f>G7/G3</f>
        <v>8.8014460511679646E-2</v>
      </c>
      <c r="H21" s="10">
        <f t="shared" ref="H21:N21" si="42">H7/H3</f>
        <v>4.6050196194565782E-2</v>
      </c>
      <c r="I21" s="10">
        <f t="shared" si="42"/>
        <v>3.8024282560706404E-2</v>
      </c>
      <c r="J21" s="10">
        <f t="shared" si="42"/>
        <v>3.2167579061665834E-2</v>
      </c>
      <c r="K21" s="10">
        <f t="shared" si="42"/>
        <v>2.9834126862233145E-2</v>
      </c>
      <c r="L21" s="10">
        <f t="shared" si="42"/>
        <v>2.8029294274300932E-2</v>
      </c>
      <c r="M21" s="10">
        <f t="shared" si="42"/>
        <v>2.5568667692833932E-2</v>
      </c>
      <c r="N21" s="10">
        <f t="shared" si="42"/>
        <v>2.478960616307747E-2</v>
      </c>
      <c r="O21" s="10">
        <f t="shared" ref="O21:R21" si="43">O7/O3</f>
        <v>2.5000000000000001E-2</v>
      </c>
      <c r="P21" s="10">
        <f t="shared" si="43"/>
        <v>0</v>
      </c>
      <c r="Q21" s="10">
        <f t="shared" si="43"/>
        <v>0</v>
      </c>
      <c r="R21" s="10">
        <f t="shared" si="43"/>
        <v>0</v>
      </c>
      <c r="U21" s="10">
        <f t="shared" ref="U21:V21" si="44">U7/U3</f>
        <v>8.0478561343538674E-2</v>
      </c>
      <c r="V21" s="10">
        <f t="shared" si="44"/>
        <v>9.0457477570994288E-2</v>
      </c>
      <c r="W21" s="10">
        <f t="shared" ref="W21:AI21" si="45">W7/W3</f>
        <v>4.3580315813663374E-2</v>
      </c>
      <c r="X21" s="10">
        <f t="shared" si="45"/>
        <v>2.6751572833091947E-2</v>
      </c>
      <c r="Y21" s="10">
        <f t="shared" si="45"/>
        <v>2.5000000000000001E-2</v>
      </c>
      <c r="Z21" s="10">
        <f t="shared" si="45"/>
        <v>2.5000000000000001E-2</v>
      </c>
      <c r="AA21" s="10">
        <f t="shared" si="45"/>
        <v>2.5000000000000001E-2</v>
      </c>
      <c r="AB21" s="10">
        <f t="shared" si="45"/>
        <v>2.5000000000000001E-2</v>
      </c>
      <c r="AC21" s="10">
        <f t="shared" si="45"/>
        <v>2.5000000000000001E-2</v>
      </c>
      <c r="AD21" s="10">
        <f t="shared" si="45"/>
        <v>2.5000000000000001E-2</v>
      </c>
      <c r="AE21" s="10">
        <f t="shared" si="45"/>
        <v>2.5000000000000005E-2</v>
      </c>
      <c r="AF21" s="10">
        <f t="shared" si="45"/>
        <v>2.5000000000000001E-2</v>
      </c>
      <c r="AG21" s="10">
        <f t="shared" si="45"/>
        <v>2.5000000000000001E-2</v>
      </c>
      <c r="AH21" s="10">
        <f t="shared" si="45"/>
        <v>2.5000000000000001E-2</v>
      </c>
      <c r="AI21" s="10">
        <f t="shared" si="45"/>
        <v>2.4999999999999998E-2</v>
      </c>
      <c r="AK21" t="s">
        <v>38</v>
      </c>
      <c r="AL21" s="4">
        <f>NPV(AL20,Y14:EQ14)</f>
        <v>3352226.5886356286</v>
      </c>
    </row>
    <row r="22" spans="1:38" x14ac:dyDescent="0.3">
      <c r="B22" t="s">
        <v>35</v>
      </c>
      <c r="C22" s="10">
        <f t="shared" ref="C22:F22" si="46">C8/C3</f>
        <v>0.38863416988416988</v>
      </c>
      <c r="D22" s="10">
        <f t="shared" si="46"/>
        <v>7.4433174224343673E-2</v>
      </c>
      <c r="E22" s="10">
        <f t="shared" si="46"/>
        <v>0.10133198448828191</v>
      </c>
      <c r="F22" s="10">
        <f t="shared" si="46"/>
        <v>0.2077342588001983</v>
      </c>
      <c r="G22" s="10">
        <f>G8/G3</f>
        <v>0.29755283648498332</v>
      </c>
      <c r="H22" s="10">
        <f t="shared" ref="H22:N22" si="47">H8/H3</f>
        <v>0.50344265936181243</v>
      </c>
      <c r="I22" s="10">
        <f t="shared" si="47"/>
        <v>0.5748896247240618</v>
      </c>
      <c r="J22" s="10">
        <f t="shared" si="47"/>
        <v>0.61597973125820027</v>
      </c>
      <c r="K22" s="10">
        <f t="shared" si="47"/>
        <v>0.64924742743050223</v>
      </c>
      <c r="L22" s="10">
        <f t="shared" si="47"/>
        <v>0.62057256990679099</v>
      </c>
      <c r="M22" s="10">
        <f t="shared" si="47"/>
        <v>0.62336810900176731</v>
      </c>
      <c r="N22" s="10">
        <f t="shared" si="47"/>
        <v>0.61107014822913219</v>
      </c>
      <c r="O22" s="10">
        <f t="shared" ref="O22:R22" si="48">O8/O3</f>
        <v>0.58611627906976749</v>
      </c>
      <c r="P22" s="10">
        <f t="shared" si="48"/>
        <v>0</v>
      </c>
      <c r="Q22" s="10">
        <f t="shared" si="48"/>
        <v>0</v>
      </c>
      <c r="R22" s="10">
        <f t="shared" si="48"/>
        <v>0</v>
      </c>
      <c r="U22" s="10">
        <f t="shared" ref="U22:V22" si="49">U8/U3</f>
        <v>0.37307720888756779</v>
      </c>
      <c r="V22" s="10">
        <f t="shared" si="49"/>
        <v>0.20679172536516646</v>
      </c>
      <c r="W22" s="10">
        <f t="shared" ref="W22:AI22" si="50">W8/W3</f>
        <v>0.54121663766783756</v>
      </c>
      <c r="X22" s="10">
        <f t="shared" si="50"/>
        <v>0.62418293140838488</v>
      </c>
      <c r="Y22" s="10">
        <f t="shared" si="50"/>
        <v>0.60365241025930005</v>
      </c>
      <c r="Z22" s="10">
        <f t="shared" si="50"/>
        <v>0.62616566620746417</v>
      </c>
      <c r="AA22" s="10">
        <f t="shared" si="50"/>
        <v>0.62378617512373569</v>
      </c>
      <c r="AB22" s="10">
        <f t="shared" si="50"/>
        <v>0.62378617512373546</v>
      </c>
      <c r="AC22" s="10">
        <f t="shared" si="50"/>
        <v>0.62378617512373558</v>
      </c>
      <c r="AD22" s="10">
        <f t="shared" si="50"/>
        <v>0.62378617512373558</v>
      </c>
      <c r="AE22" s="10">
        <f t="shared" si="50"/>
        <v>0.62467174623903921</v>
      </c>
      <c r="AF22" s="10">
        <f t="shared" si="50"/>
        <v>0.62467174623903909</v>
      </c>
      <c r="AG22" s="10">
        <f t="shared" si="50"/>
        <v>0.62467174623903909</v>
      </c>
      <c r="AH22" s="10">
        <f t="shared" si="50"/>
        <v>0.62467174623903921</v>
      </c>
      <c r="AI22" s="10">
        <f t="shared" si="50"/>
        <v>0.62467174623903909</v>
      </c>
      <c r="AK22" t="s">
        <v>39</v>
      </c>
      <c r="AL22" s="4">
        <f>Main!D8</f>
        <v>34747</v>
      </c>
    </row>
    <row r="23" spans="1:38" x14ac:dyDescent="0.3">
      <c r="B23" t="s">
        <v>28</v>
      </c>
      <c r="C23" s="10">
        <f t="shared" ref="C23:F23" si="51">C13/C12</f>
        <v>0.10360110803324099</v>
      </c>
      <c r="D23" s="10">
        <f t="shared" si="51"/>
        <v>-0.38105263157894737</v>
      </c>
      <c r="E23" s="10">
        <f t="shared" si="51"/>
        <v>-0.10929853181076672</v>
      </c>
      <c r="F23" s="10">
        <f t="shared" si="51"/>
        <v>-9.6974398758727695E-2</v>
      </c>
      <c r="G23" s="10">
        <f>G13/G12</f>
        <v>7.5147125396106837E-2</v>
      </c>
      <c r="H23" s="10">
        <f t="shared" ref="H23:N23" si="52">H13/H12</f>
        <v>0.11359404096834265</v>
      </c>
      <c r="I23" s="10">
        <f t="shared" si="52"/>
        <v>0.12155483748336818</v>
      </c>
      <c r="J23" s="10">
        <f t="shared" si="52"/>
        <v>0.12909400255210549</v>
      </c>
      <c r="K23" s="10">
        <f t="shared" si="52"/>
        <v>0.13878117946640431</v>
      </c>
      <c r="L23" s="10">
        <f t="shared" si="52"/>
        <v>0.1360986780472572</v>
      </c>
      <c r="M23" s="10">
        <f t="shared" si="52"/>
        <v>0.13474637031726117</v>
      </c>
      <c r="N23" s="10">
        <f t="shared" si="52"/>
        <v>0.1239639925447119</v>
      </c>
      <c r="O23" s="10">
        <f t="shared" ref="O23:R23" si="53">O13/O12</f>
        <v>0.17</v>
      </c>
      <c r="P23" s="10" t="e">
        <f t="shared" si="53"/>
        <v>#DIV/0!</v>
      </c>
      <c r="Q23" s="10" t="e">
        <f t="shared" si="53"/>
        <v>#DIV/0!</v>
      </c>
      <c r="R23" s="10" t="e">
        <f t="shared" si="53"/>
        <v>#DIV/0!</v>
      </c>
      <c r="U23" s="10">
        <f t="shared" ref="U23:V23" si="54">U13/U12</f>
        <v>1.9012171813700834E-2</v>
      </c>
      <c r="V23" s="10">
        <f t="shared" si="54"/>
        <v>-4.4476327116212341E-2</v>
      </c>
      <c r="W23" s="10">
        <f t="shared" ref="W23:AI23" si="55">W13/W12</f>
        <v>0.12002483884321959</v>
      </c>
      <c r="X23" s="10">
        <f t="shared" si="55"/>
        <v>0.13264941803727417</v>
      </c>
      <c r="Y23" s="10">
        <f t="shared" si="55"/>
        <v>0.14000000000000001</v>
      </c>
      <c r="Z23" s="10">
        <f t="shared" si="55"/>
        <v>0.14000000000000001</v>
      </c>
      <c r="AA23" s="10">
        <f t="shared" si="55"/>
        <v>0.14000000000000001</v>
      </c>
      <c r="AB23" s="10">
        <f t="shared" si="55"/>
        <v>0.14000000000000001</v>
      </c>
      <c r="AC23" s="10">
        <f t="shared" si="55"/>
        <v>0.14000000000000001</v>
      </c>
      <c r="AD23" s="10">
        <f t="shared" si="55"/>
        <v>0.14000000000000001</v>
      </c>
      <c r="AE23" s="10">
        <f t="shared" si="55"/>
        <v>0.14000000000000001</v>
      </c>
      <c r="AF23" s="10">
        <f t="shared" si="55"/>
        <v>0.14000000000000001</v>
      </c>
      <c r="AG23" s="10">
        <f t="shared" si="55"/>
        <v>0.14000000000000001</v>
      </c>
      <c r="AH23" s="10">
        <f t="shared" si="55"/>
        <v>0.14000000000000001</v>
      </c>
      <c r="AI23" s="10">
        <f t="shared" si="55"/>
        <v>0.14000000000000001</v>
      </c>
      <c r="AK23" t="s">
        <v>40</v>
      </c>
      <c r="AL23" s="4">
        <f>AL21+AL22</f>
        <v>3386973.5886356286</v>
      </c>
    </row>
    <row r="24" spans="1:38" x14ac:dyDescent="0.3">
      <c r="AK24" t="s">
        <v>41</v>
      </c>
      <c r="AL24" s="11">
        <f>AL23/AI15</f>
        <v>138.30591647824036</v>
      </c>
    </row>
    <row r="25" spans="1:38" x14ac:dyDescent="0.3">
      <c r="AK25" t="s">
        <v>42</v>
      </c>
      <c r="AL25" s="11">
        <f>Main!D3</f>
        <v>100.63</v>
      </c>
    </row>
    <row r="26" spans="1:38" x14ac:dyDescent="0.3">
      <c r="AK26" s="7" t="s">
        <v>43</v>
      </c>
      <c r="AL26" s="9">
        <f>AL24/AL25-1</f>
        <v>0.37440044199781752</v>
      </c>
    </row>
    <row r="27" spans="1:38" x14ac:dyDescent="0.3">
      <c r="AK27" t="s">
        <v>44</v>
      </c>
      <c r="AL27" s="5" t="s">
        <v>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2024-07-08T10:47:10Z</dcterms:created>
  <dcterms:modified xsi:type="dcterms:W3CDTF">2025-04-09T10:04:19Z</dcterms:modified>
</cp:coreProperties>
</file>