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F5602221-026F-4FD0-A53E-357C9480300B}" xr6:coauthVersionLast="47" xr6:coauthVersionMax="47" xr10:uidLastSave="{00000000-0000-0000-0000-000000000000}"/>
  <bookViews>
    <workbookView xWindow="-108" yWindow="-108" windowWidth="23256" windowHeight="12576" activeTab="1" xr2:uid="{5480EA2F-F3A2-49DB-8DAE-F6107DC13DE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6" i="2" l="1"/>
  <c r="AD17" i="2"/>
  <c r="AD15" i="2"/>
  <c r="AD12" i="2"/>
  <c r="AD11" i="2"/>
  <c r="AD10" i="2"/>
  <c r="AD8" i="2"/>
  <c r="AD4" i="2"/>
  <c r="AD3" i="2"/>
  <c r="V19" i="2"/>
  <c r="U19" i="2"/>
  <c r="T19" i="2"/>
  <c r="S19" i="2"/>
  <c r="V18" i="2"/>
  <c r="V20" i="2" s="1"/>
  <c r="U18" i="2"/>
  <c r="U33" i="2" s="1"/>
  <c r="T18" i="2"/>
  <c r="T20" i="2" s="1"/>
  <c r="S18" i="2"/>
  <c r="S20" i="2" s="1"/>
  <c r="V17" i="2"/>
  <c r="U17" i="2"/>
  <c r="T17" i="2"/>
  <c r="S17" i="2"/>
  <c r="V16" i="2"/>
  <c r="V32" i="2" s="1"/>
  <c r="U16" i="2"/>
  <c r="T16" i="2"/>
  <c r="S16" i="2"/>
  <c r="V15" i="2"/>
  <c r="U15" i="2"/>
  <c r="T15" i="2"/>
  <c r="S15" i="2"/>
  <c r="V13" i="2"/>
  <c r="V14" i="2" s="1"/>
  <c r="V31" i="2" s="1"/>
  <c r="U13" i="2"/>
  <c r="U14" i="2" s="1"/>
  <c r="U31" i="2" s="1"/>
  <c r="T13" i="2"/>
  <c r="T14" i="2" s="1"/>
  <c r="T31" i="2" s="1"/>
  <c r="S13" i="2"/>
  <c r="S14" i="2" s="1"/>
  <c r="S31" i="2" s="1"/>
  <c r="V12" i="2"/>
  <c r="V30" i="2" s="1"/>
  <c r="U12" i="2"/>
  <c r="U30" i="2" s="1"/>
  <c r="T12" i="2"/>
  <c r="T30" i="2" s="1"/>
  <c r="S12" i="2"/>
  <c r="S30" i="2" s="1"/>
  <c r="V11" i="2"/>
  <c r="V29" i="2" s="1"/>
  <c r="U11" i="2"/>
  <c r="U29" i="2" s="1"/>
  <c r="T11" i="2"/>
  <c r="T29" i="2" s="1"/>
  <c r="S11" i="2"/>
  <c r="S29" i="2" s="1"/>
  <c r="V10" i="2"/>
  <c r="V28" i="2" s="1"/>
  <c r="U10" i="2"/>
  <c r="U28" i="2" s="1"/>
  <c r="T10" i="2"/>
  <c r="T28" i="2" s="1"/>
  <c r="S10" i="2"/>
  <c r="S28" i="2" s="1"/>
  <c r="V9" i="2"/>
  <c r="V27" i="2" s="1"/>
  <c r="U9" i="2"/>
  <c r="U8" i="2" s="1"/>
  <c r="T9" i="2"/>
  <c r="T8" i="2"/>
  <c r="S9" i="2"/>
  <c r="S27" i="2" s="1"/>
  <c r="V5" i="2"/>
  <c r="U5" i="2"/>
  <c r="U27" i="2" s="1"/>
  <c r="T5" i="2"/>
  <c r="S5" i="2"/>
  <c r="T4" i="2"/>
  <c r="T23" i="2" s="1"/>
  <c r="S4" i="2"/>
  <c r="S23" i="2" s="1"/>
  <c r="V4" i="2"/>
  <c r="U4" i="2"/>
  <c r="V3" i="2"/>
  <c r="V22" i="2" s="1"/>
  <c r="U3" i="2"/>
  <c r="T3" i="2"/>
  <c r="T22" i="2" s="1"/>
  <c r="U22" i="2"/>
  <c r="S3" i="2"/>
  <c r="S22" i="2" s="1"/>
  <c r="AN19" i="2"/>
  <c r="AM19" i="2"/>
  <c r="AL19" i="2"/>
  <c r="AK19" i="2"/>
  <c r="AJ19" i="2"/>
  <c r="AI19" i="2"/>
  <c r="AH19" i="2"/>
  <c r="AG19" i="2"/>
  <c r="AF19" i="2"/>
  <c r="AE19" i="2"/>
  <c r="AD19" i="2"/>
  <c r="AC19" i="2"/>
  <c r="R19" i="2"/>
  <c r="V23" i="2"/>
  <c r="V33" i="2"/>
  <c r="T33" i="2"/>
  <c r="S33" i="2"/>
  <c r="U32" i="2"/>
  <c r="T32" i="2"/>
  <c r="T27" i="2"/>
  <c r="U24" i="2"/>
  <c r="T24" i="2"/>
  <c r="S24" i="2"/>
  <c r="U23" i="2"/>
  <c r="D7" i="1"/>
  <c r="D6" i="1"/>
  <c r="D4" i="1"/>
  <c r="U20" i="2" l="1"/>
  <c r="S32" i="2"/>
  <c r="V8" i="2"/>
  <c r="S8" i="2"/>
  <c r="AR30" i="2"/>
  <c r="AC15" i="2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B30" i="2"/>
  <c r="AA30" i="2"/>
  <c r="Z30" i="2"/>
  <c r="AB28" i="2"/>
  <c r="AA28" i="2"/>
  <c r="Z28" i="2"/>
  <c r="AB26" i="2"/>
  <c r="AA26" i="2"/>
  <c r="Z26" i="2"/>
  <c r="AB25" i="2"/>
  <c r="AA25" i="2"/>
  <c r="Z25" i="2"/>
  <c r="AB23" i="2"/>
  <c r="AA23" i="2"/>
  <c r="Z23" i="2"/>
  <c r="AB22" i="2"/>
  <c r="AA22" i="2"/>
  <c r="Z22" i="2"/>
  <c r="X26" i="2"/>
  <c r="X25" i="2"/>
  <c r="Y26" i="2"/>
  <c r="Y25" i="2"/>
  <c r="Y30" i="2"/>
  <c r="Y28" i="2"/>
  <c r="Y23" i="2"/>
  <c r="Y22" i="2"/>
  <c r="I8" i="2"/>
  <c r="H8" i="2"/>
  <c r="G8" i="2"/>
  <c r="E8" i="2"/>
  <c r="D8" i="2"/>
  <c r="C8" i="2"/>
  <c r="Q30" i="2"/>
  <c r="P30" i="2"/>
  <c r="O30" i="2"/>
  <c r="M30" i="2"/>
  <c r="L30" i="2"/>
  <c r="K30" i="2"/>
  <c r="I30" i="2"/>
  <c r="H30" i="2"/>
  <c r="Q28" i="2"/>
  <c r="P28" i="2"/>
  <c r="O28" i="2"/>
  <c r="M28" i="2"/>
  <c r="L28" i="2"/>
  <c r="K28" i="2"/>
  <c r="I28" i="2"/>
  <c r="H28" i="2"/>
  <c r="Q23" i="2"/>
  <c r="P23" i="2"/>
  <c r="O23" i="2"/>
  <c r="M23" i="2"/>
  <c r="L23" i="2"/>
  <c r="K23" i="2"/>
  <c r="I23" i="2"/>
  <c r="H23" i="2"/>
  <c r="Q22" i="2"/>
  <c r="P22" i="2"/>
  <c r="O22" i="2"/>
  <c r="M22" i="2"/>
  <c r="L22" i="2"/>
  <c r="K22" i="2"/>
  <c r="I22" i="2"/>
  <c r="H22" i="2"/>
  <c r="G30" i="2"/>
  <c r="G28" i="2"/>
  <c r="G23" i="2"/>
  <c r="G22" i="2"/>
  <c r="C13" i="2"/>
  <c r="C5" i="2"/>
  <c r="C29" i="2" s="1"/>
  <c r="G13" i="2"/>
  <c r="G5" i="2"/>
  <c r="G29" i="2" s="1"/>
  <c r="D13" i="2"/>
  <c r="D5" i="2"/>
  <c r="D29" i="2" s="1"/>
  <c r="H13" i="2"/>
  <c r="H5" i="2"/>
  <c r="H9" i="2" s="1"/>
  <c r="H27" i="2" s="1"/>
  <c r="E13" i="2"/>
  <c r="E5" i="2"/>
  <c r="E29" i="2" s="1"/>
  <c r="I13" i="2"/>
  <c r="I5" i="2"/>
  <c r="I29" i="2" s="1"/>
  <c r="F17" i="2"/>
  <c r="F15" i="2"/>
  <c r="F12" i="2"/>
  <c r="F11" i="2"/>
  <c r="F10" i="2"/>
  <c r="F4" i="2"/>
  <c r="F3" i="2"/>
  <c r="J17" i="2"/>
  <c r="J15" i="2"/>
  <c r="J12" i="2"/>
  <c r="J11" i="2"/>
  <c r="J10" i="2"/>
  <c r="J4" i="2"/>
  <c r="J3" i="2"/>
  <c r="N17" i="2"/>
  <c r="N15" i="2"/>
  <c r="N12" i="2"/>
  <c r="N11" i="2"/>
  <c r="N10" i="2"/>
  <c r="N4" i="2"/>
  <c r="N3" i="2"/>
  <c r="X13" i="2"/>
  <c r="X8" i="2"/>
  <c r="X5" i="2"/>
  <c r="X29" i="2" s="1"/>
  <c r="Y13" i="2"/>
  <c r="Y8" i="2"/>
  <c r="Y5" i="2"/>
  <c r="Y29" i="2" s="1"/>
  <c r="Z13" i="2"/>
  <c r="Z8" i="2"/>
  <c r="Z5" i="2"/>
  <c r="AA13" i="2"/>
  <c r="AA8" i="2"/>
  <c r="AA5" i="2"/>
  <c r="AA29" i="2" s="1"/>
  <c r="AB8" i="2"/>
  <c r="N8" i="2" s="1"/>
  <c r="AB13" i="2"/>
  <c r="AB5" i="2"/>
  <c r="AB24" i="2" s="1"/>
  <c r="K13" i="2"/>
  <c r="K5" i="2"/>
  <c r="K9" i="2" s="1"/>
  <c r="K27" i="2" s="1"/>
  <c r="O13" i="2"/>
  <c r="O5" i="2"/>
  <c r="O9" i="2" s="1"/>
  <c r="O27" i="2" s="1"/>
  <c r="L13" i="2"/>
  <c r="L5" i="2"/>
  <c r="L9" i="2" s="1"/>
  <c r="L27" i="2" s="1"/>
  <c r="P13" i="2"/>
  <c r="P5" i="2"/>
  <c r="P9" i="2" s="1"/>
  <c r="P27" i="2" s="1"/>
  <c r="M13" i="2"/>
  <c r="M5" i="2"/>
  <c r="M9" i="2" s="1"/>
  <c r="M27" i="2" s="1"/>
  <c r="Q13" i="2"/>
  <c r="Q5" i="2"/>
  <c r="Q9" i="2" s="1"/>
  <c r="Q27" i="2" s="1"/>
  <c r="D8" i="1"/>
  <c r="AR27" i="2" s="1"/>
  <c r="D5" i="1"/>
  <c r="F3" i="1"/>
  <c r="Y24" i="2" l="1"/>
  <c r="Z24" i="2"/>
  <c r="J22" i="2"/>
  <c r="N22" i="2"/>
  <c r="N23" i="2"/>
  <c r="Z29" i="2"/>
  <c r="J30" i="2"/>
  <c r="O24" i="2"/>
  <c r="J28" i="2"/>
  <c r="N30" i="2"/>
  <c r="K29" i="2"/>
  <c r="K24" i="2"/>
  <c r="O29" i="2"/>
  <c r="M24" i="2"/>
  <c r="AA24" i="2"/>
  <c r="AC10" i="2"/>
  <c r="R28" i="2"/>
  <c r="AC4" i="2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R23" i="2"/>
  <c r="H29" i="2"/>
  <c r="P29" i="2"/>
  <c r="G24" i="2"/>
  <c r="Q29" i="2"/>
  <c r="N28" i="2"/>
  <c r="J23" i="2"/>
  <c r="I9" i="2"/>
  <c r="I27" i="2" s="1"/>
  <c r="H24" i="2"/>
  <c r="I24" i="2"/>
  <c r="Q24" i="2"/>
  <c r="L29" i="2"/>
  <c r="P24" i="2"/>
  <c r="M29" i="2"/>
  <c r="AB29" i="2"/>
  <c r="L24" i="2"/>
  <c r="D9" i="1"/>
  <c r="AC12" i="2"/>
  <c r="R30" i="2"/>
  <c r="G9" i="2"/>
  <c r="G27" i="2" s="1"/>
  <c r="J8" i="2"/>
  <c r="E9" i="2"/>
  <c r="E27" i="2" s="1"/>
  <c r="F8" i="2"/>
  <c r="D9" i="2"/>
  <c r="D27" i="2" s="1"/>
  <c r="C9" i="2"/>
  <c r="H14" i="2"/>
  <c r="J5" i="2"/>
  <c r="F13" i="2"/>
  <c r="F5" i="2"/>
  <c r="F29" i="2" s="1"/>
  <c r="P14" i="2"/>
  <c r="Q14" i="2"/>
  <c r="J13" i="2"/>
  <c r="N13" i="2"/>
  <c r="N5" i="2"/>
  <c r="X9" i="2"/>
  <c r="Y9" i="2"/>
  <c r="Z9" i="2"/>
  <c r="AA9" i="2"/>
  <c r="AB9" i="2"/>
  <c r="K14" i="2"/>
  <c r="O14" i="2"/>
  <c r="L14" i="2"/>
  <c r="M14" i="2"/>
  <c r="I14" i="2" l="1"/>
  <c r="AD23" i="2"/>
  <c r="AC23" i="2"/>
  <c r="X14" i="2"/>
  <c r="X27" i="2"/>
  <c r="R22" i="2"/>
  <c r="AC3" i="2"/>
  <c r="R5" i="2"/>
  <c r="V24" i="2" s="1"/>
  <c r="AE10" i="2"/>
  <c r="L16" i="2"/>
  <c r="L31" i="2"/>
  <c r="N9" i="2"/>
  <c r="N27" i="2" s="1"/>
  <c r="N29" i="2"/>
  <c r="N24" i="2"/>
  <c r="O16" i="2"/>
  <c r="O31" i="2"/>
  <c r="Y14" i="2"/>
  <c r="Y27" i="2"/>
  <c r="Q16" i="2"/>
  <c r="Q31" i="2"/>
  <c r="AE12" i="2"/>
  <c r="AA14" i="2"/>
  <c r="AA27" i="2"/>
  <c r="P16" i="2"/>
  <c r="P31" i="2"/>
  <c r="AD28" i="2"/>
  <c r="M16" i="2"/>
  <c r="M31" i="2"/>
  <c r="J24" i="2"/>
  <c r="J29" i="2"/>
  <c r="K16" i="2"/>
  <c r="K31" i="2"/>
  <c r="AB14" i="2"/>
  <c r="AB27" i="2"/>
  <c r="AC28" i="2"/>
  <c r="Z14" i="2"/>
  <c r="Z27" i="2"/>
  <c r="AE23" i="2"/>
  <c r="AC30" i="2"/>
  <c r="I16" i="2"/>
  <c r="I31" i="2"/>
  <c r="H16" i="2"/>
  <c r="H31" i="2"/>
  <c r="J9" i="2"/>
  <c r="J27" i="2" s="1"/>
  <c r="G14" i="2"/>
  <c r="G31" i="2" s="1"/>
  <c r="F9" i="2"/>
  <c r="F27" i="2" s="1"/>
  <c r="E14" i="2"/>
  <c r="D14" i="2"/>
  <c r="C14" i="2"/>
  <c r="C27" i="2"/>
  <c r="M18" i="2" l="1"/>
  <c r="M32" i="2"/>
  <c r="AB16" i="2"/>
  <c r="AB31" i="2"/>
  <c r="X16" i="2"/>
  <c r="X31" i="2"/>
  <c r="P18" i="2"/>
  <c r="P32" i="2"/>
  <c r="Y16" i="2"/>
  <c r="Y31" i="2"/>
  <c r="L18" i="2"/>
  <c r="L32" i="2"/>
  <c r="N14" i="2"/>
  <c r="K18" i="2"/>
  <c r="K32" i="2"/>
  <c r="O18" i="2"/>
  <c r="O32" i="2"/>
  <c r="AF12" i="2"/>
  <c r="AE30" i="2"/>
  <c r="R24" i="2"/>
  <c r="Q18" i="2"/>
  <c r="Q32" i="2"/>
  <c r="AA16" i="2"/>
  <c r="AA31" i="2"/>
  <c r="AF10" i="2"/>
  <c r="AE28" i="2"/>
  <c r="Z16" i="2"/>
  <c r="Z31" i="2"/>
  <c r="AD30" i="2"/>
  <c r="AC22" i="2"/>
  <c r="AC5" i="2"/>
  <c r="AF23" i="2"/>
  <c r="I18" i="2"/>
  <c r="I32" i="2"/>
  <c r="H18" i="2"/>
  <c r="H32" i="2"/>
  <c r="J14" i="2"/>
  <c r="J16" i="2" s="1"/>
  <c r="G16" i="2"/>
  <c r="G32" i="2" s="1"/>
  <c r="F14" i="2"/>
  <c r="F16" i="2" s="1"/>
  <c r="E16" i="2"/>
  <c r="E31" i="2"/>
  <c r="D16" i="2"/>
  <c r="D31" i="2"/>
  <c r="C16" i="2"/>
  <c r="C31" i="2"/>
  <c r="O20" i="2" l="1"/>
  <c r="O33" i="2"/>
  <c r="R9" i="2"/>
  <c r="R27" i="2" s="1"/>
  <c r="AC8" i="2"/>
  <c r="AC9" i="2" s="1"/>
  <c r="K20" i="2"/>
  <c r="K33" i="2"/>
  <c r="P20" i="2"/>
  <c r="P33" i="2"/>
  <c r="N16" i="2"/>
  <c r="N31" i="2"/>
  <c r="X18" i="2"/>
  <c r="X32" i="2"/>
  <c r="AC11" i="2"/>
  <c r="R13" i="2"/>
  <c r="R14" i="2" s="1"/>
  <c r="R29" i="2"/>
  <c r="AC24" i="2"/>
  <c r="AG10" i="2"/>
  <c r="AF28" i="2"/>
  <c r="L20" i="2"/>
  <c r="L33" i="2"/>
  <c r="AB18" i="2"/>
  <c r="AB32" i="2"/>
  <c r="Q20" i="2"/>
  <c r="Q33" i="2"/>
  <c r="Z18" i="2"/>
  <c r="Z32" i="2"/>
  <c r="F31" i="2"/>
  <c r="AG12" i="2"/>
  <c r="AF30" i="2"/>
  <c r="AD5" i="2"/>
  <c r="AE3" i="2"/>
  <c r="AD22" i="2"/>
  <c r="AA18" i="2"/>
  <c r="AA32" i="2"/>
  <c r="Y18" i="2"/>
  <c r="Y32" i="2"/>
  <c r="M20" i="2"/>
  <c r="M33" i="2"/>
  <c r="AG23" i="2"/>
  <c r="I20" i="2"/>
  <c r="I33" i="2"/>
  <c r="H20" i="2"/>
  <c r="H33" i="2"/>
  <c r="G18" i="2"/>
  <c r="G20" i="2" s="1"/>
  <c r="J31" i="2"/>
  <c r="J18" i="2"/>
  <c r="J32" i="2"/>
  <c r="E18" i="2"/>
  <c r="E32" i="2"/>
  <c r="D18" i="2"/>
  <c r="D32" i="2"/>
  <c r="C18" i="2"/>
  <c r="C32" i="2"/>
  <c r="F18" i="2"/>
  <c r="F32" i="2"/>
  <c r="AB20" i="2" l="1"/>
  <c r="AB33" i="2"/>
  <c r="R31" i="2"/>
  <c r="R16" i="2"/>
  <c r="AC13" i="2"/>
  <c r="AC14" i="2" s="1"/>
  <c r="AC29" i="2"/>
  <c r="AD9" i="2"/>
  <c r="AD24" i="2"/>
  <c r="AH12" i="2"/>
  <c r="AG30" i="2"/>
  <c r="Y20" i="2"/>
  <c r="Y33" i="2"/>
  <c r="AA20" i="2"/>
  <c r="AA33" i="2"/>
  <c r="Z20" i="2"/>
  <c r="Z33" i="2"/>
  <c r="X20" i="2"/>
  <c r="X33" i="2"/>
  <c r="AH10" i="2"/>
  <c r="AG28" i="2"/>
  <c r="AE5" i="2"/>
  <c r="AF3" i="2"/>
  <c r="AE22" i="2"/>
  <c r="AC27" i="2"/>
  <c r="N18" i="2"/>
  <c r="N32" i="2"/>
  <c r="AH23" i="2"/>
  <c r="G33" i="2"/>
  <c r="J20" i="2"/>
  <c r="J33" i="2"/>
  <c r="E20" i="2"/>
  <c r="E33" i="2"/>
  <c r="D20" i="2"/>
  <c r="D33" i="2"/>
  <c r="F20" i="2"/>
  <c r="F33" i="2"/>
  <c r="C20" i="2"/>
  <c r="C33" i="2"/>
  <c r="AC16" i="2" l="1"/>
  <c r="AC31" i="2"/>
  <c r="AD29" i="2"/>
  <c r="AD13" i="2"/>
  <c r="AD14" i="2" s="1"/>
  <c r="AD27" i="2"/>
  <c r="AF5" i="2"/>
  <c r="AG3" i="2"/>
  <c r="AF22" i="2"/>
  <c r="AI10" i="2"/>
  <c r="AH28" i="2"/>
  <c r="AI12" i="2"/>
  <c r="AH30" i="2"/>
  <c r="AE8" i="2"/>
  <c r="AE9" i="2" s="1"/>
  <c r="AE11" i="2"/>
  <c r="AE24" i="2"/>
  <c r="N20" i="2"/>
  <c r="N33" i="2"/>
  <c r="AI23" i="2"/>
  <c r="AE27" i="2" l="1"/>
  <c r="AG5" i="2"/>
  <c r="AH3" i="2"/>
  <c r="AG22" i="2"/>
  <c r="AF8" i="2"/>
  <c r="AF9" i="2" s="1"/>
  <c r="AF11" i="2"/>
  <c r="AF24" i="2"/>
  <c r="AJ12" i="2"/>
  <c r="AI30" i="2"/>
  <c r="AD31" i="2"/>
  <c r="AD16" i="2"/>
  <c r="AJ10" i="2"/>
  <c r="AI28" i="2"/>
  <c r="AE29" i="2"/>
  <c r="AE13" i="2"/>
  <c r="AE14" i="2" s="1"/>
  <c r="AC17" i="2"/>
  <c r="AC32" i="2" s="1"/>
  <c r="R32" i="2"/>
  <c r="R18" i="2"/>
  <c r="AJ23" i="2"/>
  <c r="AC18" i="2" l="1"/>
  <c r="AC20" i="2" s="1"/>
  <c r="AE31" i="2"/>
  <c r="AE16" i="2"/>
  <c r="AF27" i="2"/>
  <c r="AK10" i="2"/>
  <c r="AJ28" i="2"/>
  <c r="AF29" i="2"/>
  <c r="AF13" i="2"/>
  <c r="AF14" i="2" s="1"/>
  <c r="AD32" i="2"/>
  <c r="AH5" i="2"/>
  <c r="AI3" i="2"/>
  <c r="AH22" i="2"/>
  <c r="R33" i="2"/>
  <c r="R20" i="2"/>
  <c r="AK12" i="2"/>
  <c r="AJ30" i="2"/>
  <c r="AG8" i="2"/>
  <c r="AG9" i="2"/>
  <c r="AG11" i="2"/>
  <c r="AG24" i="2"/>
  <c r="AK23" i="2"/>
  <c r="AC33" i="2" l="1"/>
  <c r="AD18" i="2"/>
  <c r="AD20" i="2" s="1"/>
  <c r="AF31" i="2"/>
  <c r="AF16" i="2"/>
  <c r="AG29" i="2"/>
  <c r="AG13" i="2"/>
  <c r="AG14" i="2" s="1"/>
  <c r="AH8" i="2"/>
  <c r="AH9" i="2" s="1"/>
  <c r="AH11" i="2"/>
  <c r="AH24" i="2"/>
  <c r="AI5" i="2"/>
  <c r="AJ3" i="2"/>
  <c r="AI22" i="2"/>
  <c r="AL10" i="2"/>
  <c r="AK28" i="2"/>
  <c r="AL12" i="2"/>
  <c r="AK30" i="2"/>
  <c r="AE17" i="2"/>
  <c r="AE32" i="2" s="1"/>
  <c r="AG27" i="2"/>
  <c r="AL23" i="2"/>
  <c r="AD33" i="2" l="1"/>
  <c r="AE18" i="2"/>
  <c r="AE20" i="2" s="1"/>
  <c r="AH29" i="2"/>
  <c r="AH13" i="2"/>
  <c r="AH14" i="2" s="1"/>
  <c r="AK3" i="2"/>
  <c r="AJ5" i="2"/>
  <c r="AJ22" i="2"/>
  <c r="AM10" i="2"/>
  <c r="AL28" i="2"/>
  <c r="AH27" i="2"/>
  <c r="AF17" i="2"/>
  <c r="AF32" i="2" s="1"/>
  <c r="AG16" i="2"/>
  <c r="AG31" i="2"/>
  <c r="AI8" i="2"/>
  <c r="AI9" i="2" s="1"/>
  <c r="AI11" i="2"/>
  <c r="AI24" i="2"/>
  <c r="AM12" i="2"/>
  <c r="AL30" i="2"/>
  <c r="AM23" i="2"/>
  <c r="AF18" i="2" l="1"/>
  <c r="AF33" i="2" s="1"/>
  <c r="AE33" i="2"/>
  <c r="AH16" i="2"/>
  <c r="AH17" i="2" s="1"/>
  <c r="AH31" i="2"/>
  <c r="AI29" i="2"/>
  <c r="AI13" i="2"/>
  <c r="AI14" i="2" s="1"/>
  <c r="AL3" i="2"/>
  <c r="AK5" i="2"/>
  <c r="AK22" i="2"/>
  <c r="AI27" i="2"/>
  <c r="AJ8" i="2"/>
  <c r="AJ9" i="2" s="1"/>
  <c r="AJ11" i="2"/>
  <c r="AJ24" i="2"/>
  <c r="AN12" i="2"/>
  <c r="AN30" i="2" s="1"/>
  <c r="AM30" i="2"/>
  <c r="AN10" i="2"/>
  <c r="AM28" i="2"/>
  <c r="AG17" i="2"/>
  <c r="AG32" i="2" s="1"/>
  <c r="AN23" i="2"/>
  <c r="AG18" i="2" l="1"/>
  <c r="AG20" i="2" s="1"/>
  <c r="AF20" i="2"/>
  <c r="AI31" i="2"/>
  <c r="AI16" i="2"/>
  <c r="AL5" i="2"/>
  <c r="AM3" i="2"/>
  <c r="AL22" i="2"/>
  <c r="AJ29" i="2"/>
  <c r="AJ13" i="2"/>
  <c r="AJ14" i="2" s="1"/>
  <c r="AN28" i="2"/>
  <c r="AK8" i="2"/>
  <c r="AK9" i="2" s="1"/>
  <c r="AK24" i="2"/>
  <c r="AK11" i="2"/>
  <c r="AJ27" i="2"/>
  <c r="AH18" i="2"/>
  <c r="AH32" i="2"/>
  <c r="AG33" i="2" l="1"/>
  <c r="AJ31" i="2"/>
  <c r="AJ16" i="2"/>
  <c r="AH20" i="2"/>
  <c r="AH33" i="2"/>
  <c r="AN3" i="2"/>
  <c r="AM5" i="2"/>
  <c r="AM22" i="2"/>
  <c r="AK27" i="2"/>
  <c r="AI17" i="2"/>
  <c r="AI32" i="2" s="1"/>
  <c r="AK29" i="2"/>
  <c r="AK13" i="2"/>
  <c r="AK14" i="2" s="1"/>
  <c r="AL8" i="2"/>
  <c r="AL9" i="2" s="1"/>
  <c r="AL24" i="2"/>
  <c r="AL11" i="2"/>
  <c r="AI18" i="2" l="1"/>
  <c r="AI20" i="2" s="1"/>
  <c r="AK31" i="2"/>
  <c r="AK16" i="2"/>
  <c r="AK17" i="2" s="1"/>
  <c r="AL27" i="2"/>
  <c r="AM8" i="2"/>
  <c r="AM9" i="2" s="1"/>
  <c r="AM24" i="2"/>
  <c r="AM11" i="2"/>
  <c r="AN5" i="2"/>
  <c r="AN22" i="2"/>
  <c r="AL29" i="2"/>
  <c r="AL13" i="2"/>
  <c r="AL14" i="2" s="1"/>
  <c r="AJ17" i="2"/>
  <c r="AJ32" i="2" s="1"/>
  <c r="AI33" i="2" l="1"/>
  <c r="AL16" i="2"/>
  <c r="AL31" i="2"/>
  <c r="AK18" i="2"/>
  <c r="AK32" i="2"/>
  <c r="AM27" i="2"/>
  <c r="AM29" i="2"/>
  <c r="AM13" i="2"/>
  <c r="AM14" i="2" s="1"/>
  <c r="AN8" i="2"/>
  <c r="AN9" i="2" s="1"/>
  <c r="AN11" i="2"/>
  <c r="AN24" i="2"/>
  <c r="AJ18" i="2"/>
  <c r="AM31" i="2" l="1"/>
  <c r="AM16" i="2"/>
  <c r="AN29" i="2"/>
  <c r="AN13" i="2"/>
  <c r="AN14" i="2" s="1"/>
  <c r="AJ33" i="2"/>
  <c r="AJ20" i="2"/>
  <c r="AK33" i="2"/>
  <c r="AK20" i="2"/>
  <c r="AN27" i="2"/>
  <c r="AL17" i="2"/>
  <c r="AL32" i="2" s="1"/>
  <c r="AL18" i="2" l="1"/>
  <c r="AL33" i="2" s="1"/>
  <c r="AN31" i="2"/>
  <c r="AN16" i="2"/>
  <c r="AM17" i="2"/>
  <c r="AM32" i="2" s="1"/>
  <c r="AL20" i="2" l="1"/>
  <c r="AM18" i="2"/>
  <c r="AM20" i="2" s="1"/>
  <c r="AN17" i="2"/>
  <c r="AN32" i="2" s="1"/>
  <c r="AM33" i="2" l="1"/>
  <c r="AN18" i="2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AR28" i="2" s="1"/>
  <c r="AR29" i="2" s="1"/>
  <c r="AR31" i="2" s="1"/>
  <c r="AN20" i="2" l="1"/>
  <c r="AN33" i="2"/>
</calcChain>
</file>

<file path=xl/sharedStrings.xml><?xml version="1.0" encoding="utf-8"?>
<sst xmlns="http://schemas.openxmlformats.org/spreadsheetml/2006/main" count="74" uniqueCount="69">
  <si>
    <t>NVMI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</si>
  <si>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</si>
  <si>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</si>
  <si>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</si>
  <si>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</si>
  <si>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</si>
  <si>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</si>
  <si>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</si>
  <si>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</si>
  <si>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</si>
  <si>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</si>
  <si>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</si>
  <si>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</si>
  <si>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</si>
  <si>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</si>
  <si>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</si>
  <si>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</si>
  <si>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</si>
  <si>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</si>
  <si>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</si>
  <si>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</si>
  <si>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</si>
  <si>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</si>
  <si>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Product revenue</t>
  </si>
  <si>
    <t>Service revenue</t>
  </si>
  <si>
    <t>Total revenue</t>
  </si>
  <si>
    <t>Cost of sales</t>
  </si>
  <si>
    <t>Gross profit</t>
  </si>
  <si>
    <t>R&amp;D</t>
  </si>
  <si>
    <t>S&amp;M</t>
  </si>
  <si>
    <t>G&amp;A</t>
  </si>
  <si>
    <t>Total operating expenses</t>
  </si>
  <si>
    <t>Operating profit</t>
  </si>
  <si>
    <t>Net finance income</t>
  </si>
  <si>
    <t>Pretax profit</t>
  </si>
  <si>
    <t>Taxes</t>
  </si>
  <si>
    <t>Net profit</t>
  </si>
  <si>
    <t>EPS</t>
  </si>
  <si>
    <t>Product cost</t>
  </si>
  <si>
    <t>Service cost</t>
  </si>
  <si>
    <t>Q121</t>
  </si>
  <si>
    <t>Q221</t>
  </si>
  <si>
    <t>Q321</t>
  </si>
  <si>
    <t>Q421</t>
  </si>
  <si>
    <t>Gross Margin</t>
  </si>
  <si>
    <t>Product revenue y/y</t>
  </si>
  <si>
    <t>Service revenue y/y</t>
  </si>
  <si>
    <t>Revenue y/y</t>
  </si>
  <si>
    <t>Product Margin</t>
  </si>
  <si>
    <t>Service Margin</t>
  </si>
  <si>
    <t>R&amp;D y/y</t>
  </si>
  <si>
    <t>S&amp;M Margin</t>
  </si>
  <si>
    <t>G&amp;A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</si>
  <si>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</si>
  <si>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</si>
  <si>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</si>
  <si>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</si>
  <si>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</si>
  <si>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</si>
  <si>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</si>
  <si>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</si>
  <si>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</si>
  <si>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</si>
  <si>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</si>
  <si>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Q125</t>
  </si>
  <si>
    <t>Q225</t>
  </si>
  <si>
    <t>Q325</t>
  </si>
  <si>
    <t>Q425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</si>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</sst>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2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0</xdr:row>
      <xdr:rowOff>7620</xdr:rowOff>
    </xdr:from>
    <xdr:to>
      <xdr:col>18</xdr:col>
      <xdr:colOff>22860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FA51C9-6F2B-CEF1-FCDD-A2B1BCAA88F5}"/>
            </a:ext>
          </a:extLst>
        </xdr:cNvPr>
        <xdr:cNvCxnSpPr/>
      </xdr:nvCxnSpPr>
      <xdr:spPr>
        <a:xfrm>
          <a:off x="1187196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0</xdr:row>
      <xdr:rowOff>0</xdr:rowOff>
    </xdr:from>
    <xdr:to>
      <xdr:col>29</xdr:col>
      <xdr:colOff>38100</xdr:colOff>
      <xdr:row>38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ECCA45B-D752-3463-7232-C34C3347D785}"/>
            </a:ext>
          </a:extLst>
        </xdr:cNvPr>
        <xdr:cNvCxnSpPr/>
      </xdr:nvCxnSpPr>
      <xdr:spPr>
        <a:xfrm>
          <a:off x="18592800" y="0"/>
          <a:ext cx="0" cy="7040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6438-147E-4DB8-9449-FB7077A80A0C}">
  <dimension ref="B2:G9"/>
  <sheetViews>
    <sheetView workbookViewId="0">
      <selection activeCell="D4" sqref="D4"/>
    </sheetView>
  </sheetViews>
  <sheetFormatPr defaultRowHeight="14.4" x14ac:dyDescent="0.3"/>
  <cols>
    <col min="5" max="7" width="12.886718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4">
        <v>171.45</v>
      </c>
      <c r="E3" s="3">
        <v>45751</v>
      </c>
      <c r="F3" s="3">
        <f ca="1">TODAY()</f>
        <v>45751</v>
      </c>
      <c r="G3" s="3">
        <v>45785</v>
      </c>
    </row>
    <row r="4" spans="2:7" x14ac:dyDescent="0.3">
      <c r="C4" t="s">
        <v>2</v>
      </c>
      <c r="D4" s="5">
        <f>29.3</f>
        <v>29.3</v>
      </c>
      <c r="E4" s="2" t="s">
        <v>22</v>
      </c>
    </row>
    <row r="5" spans="2:7" x14ac:dyDescent="0.3">
      <c r="C5" t="s">
        <v>3</v>
      </c>
      <c r="D5" s="5">
        <f>D3*D4</f>
        <v>5023.4849999999997</v>
      </c>
    </row>
    <row r="6" spans="2:7" x14ac:dyDescent="0.3">
      <c r="C6" t="s">
        <v>4</v>
      </c>
      <c r="D6" s="5">
        <f>157.8+211.9+216.9+225.8+7.8</f>
        <v>820.2</v>
      </c>
      <c r="E6" s="2" t="s">
        <v>22</v>
      </c>
    </row>
    <row r="7" spans="2:7" x14ac:dyDescent="0.3">
      <c r="C7" t="s">
        <v>5</v>
      </c>
      <c r="D7" s="5">
        <f>180.6</f>
        <v>180.6</v>
      </c>
      <c r="E7" s="2" t="s">
        <v>22</v>
      </c>
    </row>
    <row r="8" spans="2:7" x14ac:dyDescent="0.3">
      <c r="C8" t="s">
        <v>6</v>
      </c>
      <c r="D8" s="5">
        <f>D6-D7</f>
        <v>639.6</v>
      </c>
    </row>
    <row r="9" spans="2:7" x14ac:dyDescent="0.3">
      <c r="C9" t="s">
        <v>7</v>
      </c>
      <c r="D9" s="5">
        <f>D5-D8</f>
        <v>4383.8849999999993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1D99-81E1-4D79-B826-FA39283F504C}">
  <dimension ref="B2:ER33"/>
  <sheetViews>
    <sheetView tabSelected="1" workbookViewId="0">
      <pane xSplit="2" ySplit="2" topLeftCell="AB7" activePane="bottomRight" state="frozen"/>
      <selection pane="topRight" activeCell="C1" sqref="C1"/>
      <selection pane="bottomLeft" activeCell="A3" sqref="A3"/>
      <selection pane="bottomRight" activeCell="AR33" sqref="AR33"/>
    </sheetView>
  </sheetViews>
  <sheetFormatPr defaultRowHeight="14.4" x14ac:dyDescent="0.3"/>
  <cols>
    <col min="2" max="2" width="21.6640625" bestFit="1" customWidth="1"/>
    <col min="3" max="6" width="8.88671875" customWidth="1"/>
    <col min="28" max="28" width="8.88671875" customWidth="1"/>
    <col min="43" max="43" width="12.33203125" customWidth="1"/>
    <col min="44" max="44" width="16.21875" bestFit="1" customWidth="1"/>
  </cols>
  <sheetData>
    <row r="2" spans="2:40" x14ac:dyDescent="0.3">
      <c r="C2" s="6" t="s">
        <v>40</v>
      </c>
      <c r="D2" s="6" t="s">
        <v>41</v>
      </c>
      <c r="E2" s="6" t="s">
        <v>42</v>
      </c>
      <c r="F2" s="6" t="s">
        <v>43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64</v>
      </c>
      <c r="T2" s="6" t="s">
        <v>65</v>
      </c>
      <c r="U2" s="6" t="s">
        <v>66</v>
      </c>
      <c r="V2" s="6" t="s">
        <v>67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  <c r="AJ2">
        <v>2031</v>
      </c>
      <c r="AK2">
        <v>2032</v>
      </c>
      <c r="AL2">
        <v>2033</v>
      </c>
      <c r="AM2">
        <v>2034</v>
      </c>
      <c r="AN2">
        <v>2035</v>
      </c>
    </row>
    <row r="3" spans="2:40" x14ac:dyDescent="0.3">
      <c r="B3" t="s">
        <v>23</v>
      </c>
      <c r="C3" s="5">
        <v>66.3</v>
      </c>
      <c r="D3" s="5">
        <v>78.3</v>
      </c>
      <c r="E3" s="5">
        <v>92.6</v>
      </c>
      <c r="F3" s="5">
        <f>Z3-E3-D3-C3</f>
        <v>99.800000000000026</v>
      </c>
      <c r="G3" s="5">
        <v>109.9</v>
      </c>
      <c r="H3" s="5">
        <v>114.1</v>
      </c>
      <c r="I3" s="5">
        <v>116.6</v>
      </c>
      <c r="J3" s="5">
        <f>AA3-I3-H3-G3</f>
        <v>123.60000000000002</v>
      </c>
      <c r="K3" s="5">
        <v>105.3</v>
      </c>
      <c r="L3" s="5">
        <v>95.6</v>
      </c>
      <c r="M3" s="5">
        <v>100</v>
      </c>
      <c r="N3" s="5">
        <f>AB3-M3-L3-K3</f>
        <v>104.10000000000001</v>
      </c>
      <c r="O3" s="5">
        <v>111.6</v>
      </c>
      <c r="P3" s="5">
        <v>124.6</v>
      </c>
      <c r="Q3" s="5">
        <v>143.6</v>
      </c>
      <c r="R3" s="5">
        <v>158.5</v>
      </c>
      <c r="S3" s="5">
        <f>O3*1.5</f>
        <v>167.39999999999998</v>
      </c>
      <c r="T3" s="5">
        <f>P3*1.4</f>
        <v>174.43999999999997</v>
      </c>
      <c r="U3" s="5">
        <f>Q3*1.3</f>
        <v>186.68</v>
      </c>
      <c r="V3" s="5">
        <f>R3*1.3</f>
        <v>206.05</v>
      </c>
      <c r="X3" s="5">
        <v>167.2</v>
      </c>
      <c r="Y3" s="5">
        <v>209.3</v>
      </c>
      <c r="Z3" s="5">
        <v>337</v>
      </c>
      <c r="AA3" s="5">
        <v>464.2</v>
      </c>
      <c r="AB3" s="5">
        <v>405</v>
      </c>
      <c r="AC3" s="5">
        <f>SUM(O3:R3)</f>
        <v>538.29999999999995</v>
      </c>
      <c r="AD3" s="5">
        <f>SUM(S3:V3)</f>
        <v>734.56999999999994</v>
      </c>
      <c r="AE3" s="5">
        <f>AD3*1.2</f>
        <v>881.48399999999992</v>
      </c>
      <c r="AF3" s="5">
        <f>AE3*1.15</f>
        <v>1013.7065999999999</v>
      </c>
      <c r="AG3" s="5">
        <f>AF3*1.1</f>
        <v>1115.07726</v>
      </c>
      <c r="AH3" s="5">
        <f>AG3*1.08</f>
        <v>1204.2834408000001</v>
      </c>
      <c r="AI3" s="5">
        <f>AH3*1.05</f>
        <v>1264.4976128400001</v>
      </c>
      <c r="AJ3" s="5">
        <f>AI3*1.04</f>
        <v>1315.0775173536001</v>
      </c>
      <c r="AK3" s="5">
        <f>AJ3*1.03</f>
        <v>1354.529842874208</v>
      </c>
      <c r="AL3" s="5">
        <f>AK3*1.02</f>
        <v>1381.6204397316922</v>
      </c>
      <c r="AM3" s="5">
        <f t="shared" ref="AM3:AN3" si="0">AL3*1.02</f>
        <v>1409.252848526326</v>
      </c>
      <c r="AN3" s="5">
        <f t="shared" si="0"/>
        <v>1437.4379054968526</v>
      </c>
    </row>
    <row r="4" spans="2:40" x14ac:dyDescent="0.3">
      <c r="B4" t="s">
        <v>24</v>
      </c>
      <c r="C4" s="5">
        <v>17.899999999999999</v>
      </c>
      <c r="D4" s="5">
        <v>19.5</v>
      </c>
      <c r="E4" s="5">
        <v>20.2</v>
      </c>
      <c r="F4" s="5">
        <f>Z4-E4-D4-C4</f>
        <v>21.499999999999993</v>
      </c>
      <c r="G4" s="5">
        <v>24</v>
      </c>
      <c r="H4" s="5">
        <v>27.5</v>
      </c>
      <c r="I4" s="5">
        <v>27.3</v>
      </c>
      <c r="J4" s="5">
        <f>AA4-I4-H4-G4</f>
        <v>27.799999999999997</v>
      </c>
      <c r="K4" s="5">
        <v>26.9</v>
      </c>
      <c r="L4" s="5">
        <v>27.1</v>
      </c>
      <c r="M4" s="5">
        <v>28.8</v>
      </c>
      <c r="N4" s="5">
        <f>AB4-M4-L4-K4</f>
        <v>30.100000000000009</v>
      </c>
      <c r="O4" s="5">
        <v>30.2</v>
      </c>
      <c r="P4" s="5">
        <v>32.299999999999997</v>
      </c>
      <c r="Q4" s="5">
        <v>35.299999999999997</v>
      </c>
      <c r="R4" s="5">
        <v>36.200000000000003</v>
      </c>
      <c r="S4" s="5">
        <f>O4*1.2</f>
        <v>36.239999999999995</v>
      </c>
      <c r="T4" s="5">
        <f>P4*1.18</f>
        <v>38.113999999999997</v>
      </c>
      <c r="U4" s="5">
        <f t="shared" ref="U4:V4" si="1">Q4*1.15</f>
        <v>40.594999999999992</v>
      </c>
      <c r="V4" s="5">
        <f t="shared" si="1"/>
        <v>41.63</v>
      </c>
      <c r="X4" s="5">
        <v>57.7</v>
      </c>
      <c r="Y4" s="5">
        <v>60.1</v>
      </c>
      <c r="Z4" s="5">
        <v>79.099999999999994</v>
      </c>
      <c r="AA4" s="5">
        <v>106.6</v>
      </c>
      <c r="AB4" s="5">
        <v>112.9</v>
      </c>
      <c r="AC4" s="5">
        <f>SUM(O4:R4)</f>
        <v>134</v>
      </c>
      <c r="AD4" s="5">
        <f>SUM(S4:V4)</f>
        <v>156.57899999999998</v>
      </c>
      <c r="AE4" s="5">
        <f>AD4*1.12</f>
        <v>175.36848000000001</v>
      </c>
      <c r="AF4" s="5">
        <f>AE4*1.09</f>
        <v>191.15164320000002</v>
      </c>
      <c r="AG4" s="5">
        <f>AF4*1.07</f>
        <v>204.53225822400003</v>
      </c>
      <c r="AH4" s="5">
        <f>AG4*1.05</f>
        <v>214.75887113520005</v>
      </c>
      <c r="AI4" s="5">
        <f>AH4*1.04</f>
        <v>223.34922598060805</v>
      </c>
      <c r="AJ4" s="5">
        <f>AI4*1.03</f>
        <v>230.04970276002629</v>
      </c>
      <c r="AK4" s="5">
        <f t="shared" ref="AK4:AN4" si="2">AJ4*1.03</f>
        <v>236.95119384282708</v>
      </c>
      <c r="AL4" s="5">
        <f t="shared" si="2"/>
        <v>244.05972965811191</v>
      </c>
      <c r="AM4" s="5">
        <f t="shared" si="2"/>
        <v>251.38152154785527</v>
      </c>
      <c r="AN4" s="5">
        <f t="shared" si="2"/>
        <v>258.92296719429095</v>
      </c>
    </row>
    <row r="5" spans="2:40" s="1" customFormat="1" x14ac:dyDescent="0.3">
      <c r="B5" s="1" t="s">
        <v>25</v>
      </c>
      <c r="C5" s="8">
        <f t="shared" ref="C5:R5" si="3">C3+C4</f>
        <v>84.199999999999989</v>
      </c>
      <c r="D5" s="8">
        <f t="shared" si="3"/>
        <v>97.8</v>
      </c>
      <c r="E5" s="8">
        <f t="shared" si="3"/>
        <v>112.8</v>
      </c>
      <c r="F5" s="8">
        <f t="shared" si="3"/>
        <v>121.30000000000001</v>
      </c>
      <c r="G5" s="8">
        <f t="shared" si="3"/>
        <v>133.9</v>
      </c>
      <c r="H5" s="8">
        <f t="shared" si="3"/>
        <v>141.6</v>
      </c>
      <c r="I5" s="8">
        <f t="shared" si="3"/>
        <v>143.9</v>
      </c>
      <c r="J5" s="8">
        <f t="shared" si="3"/>
        <v>151.40000000000003</v>
      </c>
      <c r="K5" s="8">
        <f t="shared" si="3"/>
        <v>132.19999999999999</v>
      </c>
      <c r="L5" s="8">
        <f t="shared" si="3"/>
        <v>122.69999999999999</v>
      </c>
      <c r="M5" s="8">
        <f t="shared" si="3"/>
        <v>128.80000000000001</v>
      </c>
      <c r="N5" s="8">
        <f t="shared" si="3"/>
        <v>134.20000000000002</v>
      </c>
      <c r="O5" s="8">
        <f t="shared" si="3"/>
        <v>141.79999999999998</v>
      </c>
      <c r="P5" s="8">
        <f t="shared" si="3"/>
        <v>156.89999999999998</v>
      </c>
      <c r="Q5" s="8">
        <f t="shared" si="3"/>
        <v>178.89999999999998</v>
      </c>
      <c r="R5" s="8">
        <f t="shared" si="3"/>
        <v>194.7</v>
      </c>
      <c r="S5" s="8">
        <f t="shared" ref="S5" si="4">S3+S4</f>
        <v>203.64</v>
      </c>
      <c r="T5" s="8">
        <f t="shared" ref="T5" si="5">T3+T4</f>
        <v>212.55399999999997</v>
      </c>
      <c r="U5" s="8">
        <f t="shared" ref="U5" si="6">U3+U4</f>
        <v>227.27500000000001</v>
      </c>
      <c r="V5" s="8">
        <f t="shared" ref="V5" si="7">V3+V4</f>
        <v>247.68</v>
      </c>
      <c r="X5" s="8">
        <f t="shared" ref="X5:AC5" si="8">X3+X4</f>
        <v>224.89999999999998</v>
      </c>
      <c r="Y5" s="8">
        <f t="shared" si="8"/>
        <v>269.40000000000003</v>
      </c>
      <c r="Z5" s="8">
        <f t="shared" si="8"/>
        <v>416.1</v>
      </c>
      <c r="AA5" s="8">
        <f t="shared" si="8"/>
        <v>570.79999999999995</v>
      </c>
      <c r="AB5" s="8">
        <f t="shared" si="8"/>
        <v>517.9</v>
      </c>
      <c r="AC5" s="8">
        <f t="shared" si="8"/>
        <v>672.3</v>
      </c>
      <c r="AD5" s="8">
        <f t="shared" ref="AD5:AN5" si="9">AD3+AD4</f>
        <v>891.14899999999989</v>
      </c>
      <c r="AE5" s="8">
        <f t="shared" si="9"/>
        <v>1056.85248</v>
      </c>
      <c r="AF5" s="8">
        <f t="shared" si="9"/>
        <v>1204.8582431999998</v>
      </c>
      <c r="AG5" s="8">
        <f t="shared" si="9"/>
        <v>1319.6095182240001</v>
      </c>
      <c r="AH5" s="8">
        <f t="shared" si="9"/>
        <v>1419.0423119352001</v>
      </c>
      <c r="AI5" s="8">
        <f t="shared" si="9"/>
        <v>1487.8468388206081</v>
      </c>
      <c r="AJ5" s="8">
        <f t="shared" si="9"/>
        <v>1545.1272201136264</v>
      </c>
      <c r="AK5" s="8">
        <f t="shared" si="9"/>
        <v>1591.4810367170351</v>
      </c>
      <c r="AL5" s="8">
        <f t="shared" si="9"/>
        <v>1625.6801693898042</v>
      </c>
      <c r="AM5" s="8">
        <f t="shared" si="9"/>
        <v>1660.6343700741813</v>
      </c>
      <c r="AN5" s="8">
        <f t="shared" si="9"/>
        <v>1696.3608726911436</v>
      </c>
    </row>
    <row r="6" spans="2:40" s="1" customFormat="1" x14ac:dyDescent="0.3">
      <c r="B6" t="s">
        <v>38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X6" s="5">
        <v>67.3</v>
      </c>
      <c r="Y6" s="5">
        <v>78.599999999999994</v>
      </c>
      <c r="Z6" s="5">
        <v>131.5</v>
      </c>
      <c r="AA6" s="5">
        <v>191.4</v>
      </c>
      <c r="AB6" s="5">
        <v>164</v>
      </c>
      <c r="AC6" s="5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2:40" s="1" customFormat="1" x14ac:dyDescent="0.3">
      <c r="B7" t="s">
        <v>39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X7" s="5">
        <v>35.799999999999997</v>
      </c>
      <c r="Y7" s="5">
        <v>37.9</v>
      </c>
      <c r="Z7" s="5">
        <v>49.2</v>
      </c>
      <c r="AA7" s="5">
        <v>62.4</v>
      </c>
      <c r="AB7" s="5">
        <v>60.8</v>
      </c>
      <c r="AC7" s="5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2:40" x14ac:dyDescent="0.3">
      <c r="B8" t="s">
        <v>26</v>
      </c>
      <c r="C8" s="5">
        <f>36.2+0.6</f>
        <v>36.800000000000004</v>
      </c>
      <c r="D8" s="5">
        <f>41.8+0.6</f>
        <v>42.4</v>
      </c>
      <c r="E8" s="5">
        <f>47.5+0.6</f>
        <v>48.1</v>
      </c>
      <c r="F8" s="5">
        <f>Z8-E8-D8-C8</f>
        <v>53.399999999999984</v>
      </c>
      <c r="G8" s="5">
        <f>57.8+1.6</f>
        <v>59.4</v>
      </c>
      <c r="H8" s="5">
        <f>61.2+1.5</f>
        <v>62.7</v>
      </c>
      <c r="I8" s="5">
        <f>61.8+1.4</f>
        <v>63.199999999999996</v>
      </c>
      <c r="J8" s="5">
        <f>AA8-I8-H8-G8</f>
        <v>68.500000000000028</v>
      </c>
      <c r="K8" s="5">
        <v>54.9</v>
      </c>
      <c r="L8" s="5">
        <v>53</v>
      </c>
      <c r="M8" s="5">
        <v>56.6</v>
      </c>
      <c r="N8" s="5">
        <f>AB8-M8-L8-K8</f>
        <v>60.300000000000018</v>
      </c>
      <c r="O8" s="5">
        <v>58.5</v>
      </c>
      <c r="P8" s="5">
        <v>64.3</v>
      </c>
      <c r="Q8" s="5">
        <v>77.599999999999994</v>
      </c>
      <c r="R8" s="5">
        <v>84.8</v>
      </c>
      <c r="S8" s="5">
        <f>S5-S9</f>
        <v>81.456000000000003</v>
      </c>
      <c r="T8" s="5">
        <f t="shared" ref="T8:V8" si="10">T5-T9</f>
        <v>85.021599999999992</v>
      </c>
      <c r="U8" s="5">
        <f t="shared" si="10"/>
        <v>95.455500000000001</v>
      </c>
      <c r="V8" s="5">
        <f t="shared" si="10"/>
        <v>108.97919999999999</v>
      </c>
      <c r="X8" s="5">
        <f>SUM(X6:X7)</f>
        <v>103.1</v>
      </c>
      <c r="Y8" s="5">
        <f>SUM(Y6:Y7)</f>
        <v>116.5</v>
      </c>
      <c r="Z8" s="5">
        <f>SUM(Z6:Z7)</f>
        <v>180.7</v>
      </c>
      <c r="AA8" s="5">
        <f>SUM(AA6:AA7)</f>
        <v>253.8</v>
      </c>
      <c r="AB8" s="5">
        <f>SUM(AB6:AB7)</f>
        <v>224.8</v>
      </c>
      <c r="AC8" s="5">
        <f>SUM(O8:R8)</f>
        <v>285.2</v>
      </c>
      <c r="AD8" s="5">
        <f>SUM(S8:V8)</f>
        <v>370.91229999999996</v>
      </c>
      <c r="AE8" s="5">
        <f t="shared" ref="AE8:AN8" si="11">AE5*0.42</f>
        <v>443.87804160000002</v>
      </c>
      <c r="AF8" s="5">
        <f t="shared" si="11"/>
        <v>506.04046214399989</v>
      </c>
      <c r="AG8" s="5">
        <f t="shared" si="11"/>
        <v>554.23599765408005</v>
      </c>
      <c r="AH8" s="5">
        <f t="shared" si="11"/>
        <v>595.99777101278403</v>
      </c>
      <c r="AI8" s="5">
        <f t="shared" si="11"/>
        <v>624.89567230465536</v>
      </c>
      <c r="AJ8" s="5">
        <f t="shared" si="11"/>
        <v>648.95343244772312</v>
      </c>
      <c r="AK8" s="5">
        <f t="shared" si="11"/>
        <v>668.42203542115476</v>
      </c>
      <c r="AL8" s="5">
        <f t="shared" si="11"/>
        <v>682.78567114371776</v>
      </c>
      <c r="AM8" s="5">
        <f t="shared" si="11"/>
        <v>697.46643543115613</v>
      </c>
      <c r="AN8" s="5">
        <f t="shared" si="11"/>
        <v>712.47156653028026</v>
      </c>
    </row>
    <row r="9" spans="2:40" s="1" customFormat="1" x14ac:dyDescent="0.3">
      <c r="B9" s="1" t="s">
        <v>27</v>
      </c>
      <c r="C9" s="8">
        <f t="shared" ref="C9:R9" si="12">C5-C8</f>
        <v>47.399999999999984</v>
      </c>
      <c r="D9" s="8">
        <f t="shared" si="12"/>
        <v>55.4</v>
      </c>
      <c r="E9" s="8">
        <f t="shared" si="12"/>
        <v>64.699999999999989</v>
      </c>
      <c r="F9" s="8">
        <f t="shared" si="12"/>
        <v>67.900000000000034</v>
      </c>
      <c r="G9" s="8">
        <f t="shared" si="12"/>
        <v>74.5</v>
      </c>
      <c r="H9" s="8">
        <f t="shared" si="12"/>
        <v>78.899999999999991</v>
      </c>
      <c r="I9" s="8">
        <f t="shared" si="12"/>
        <v>80.700000000000017</v>
      </c>
      <c r="J9" s="8">
        <f t="shared" si="12"/>
        <v>82.9</v>
      </c>
      <c r="K9" s="8">
        <f t="shared" si="12"/>
        <v>77.299999999999983</v>
      </c>
      <c r="L9" s="8">
        <f t="shared" si="12"/>
        <v>69.699999999999989</v>
      </c>
      <c r="M9" s="8">
        <f t="shared" si="12"/>
        <v>72.200000000000017</v>
      </c>
      <c r="N9" s="8">
        <f t="shared" si="12"/>
        <v>73.900000000000006</v>
      </c>
      <c r="O9" s="8">
        <f t="shared" si="12"/>
        <v>83.299999999999983</v>
      </c>
      <c r="P9" s="8">
        <f t="shared" si="12"/>
        <v>92.59999999999998</v>
      </c>
      <c r="Q9" s="8">
        <f t="shared" si="12"/>
        <v>101.29999999999998</v>
      </c>
      <c r="R9" s="8">
        <f t="shared" si="12"/>
        <v>109.89999999999999</v>
      </c>
      <c r="S9" s="8">
        <f>S5*0.6</f>
        <v>122.18399999999998</v>
      </c>
      <c r="T9" s="8">
        <f t="shared" ref="T9" si="13">T5*0.6</f>
        <v>127.53239999999998</v>
      </c>
      <c r="U9" s="8">
        <f>U5*0.58</f>
        <v>131.81950000000001</v>
      </c>
      <c r="V9" s="8">
        <f>V5*0.56</f>
        <v>138.70080000000002</v>
      </c>
      <c r="X9" s="8">
        <f t="shared" ref="X9:AD9" si="14">X5-X8</f>
        <v>121.79999999999998</v>
      </c>
      <c r="Y9" s="8">
        <f t="shared" si="14"/>
        <v>152.90000000000003</v>
      </c>
      <c r="Z9" s="8">
        <f t="shared" si="14"/>
        <v>235.40000000000003</v>
      </c>
      <c r="AA9" s="8">
        <f t="shared" si="14"/>
        <v>316.99999999999994</v>
      </c>
      <c r="AB9" s="8">
        <f t="shared" si="14"/>
        <v>293.09999999999997</v>
      </c>
      <c r="AC9" s="8">
        <f t="shared" si="14"/>
        <v>387.09999999999997</v>
      </c>
      <c r="AD9" s="8">
        <f t="shared" si="14"/>
        <v>520.23669999999993</v>
      </c>
      <c r="AE9" s="8">
        <f t="shared" ref="AE9:AN9" si="15">AE5-AE8</f>
        <v>612.97443840000005</v>
      </c>
      <c r="AF9" s="8">
        <f t="shared" si="15"/>
        <v>698.81778105599994</v>
      </c>
      <c r="AG9" s="8">
        <f t="shared" si="15"/>
        <v>765.37352056992006</v>
      </c>
      <c r="AH9" s="8">
        <f t="shared" si="15"/>
        <v>823.0445409224161</v>
      </c>
      <c r="AI9" s="8">
        <f t="shared" si="15"/>
        <v>862.95116651595276</v>
      </c>
      <c r="AJ9" s="8">
        <f t="shared" si="15"/>
        <v>896.17378766590332</v>
      </c>
      <c r="AK9" s="8">
        <f t="shared" si="15"/>
        <v>923.05900129588031</v>
      </c>
      <c r="AL9" s="8">
        <f t="shared" si="15"/>
        <v>942.89449824608641</v>
      </c>
      <c r="AM9" s="8">
        <f t="shared" si="15"/>
        <v>963.16793464302521</v>
      </c>
      <c r="AN9" s="8">
        <f t="shared" si="15"/>
        <v>983.88930616086338</v>
      </c>
    </row>
    <row r="10" spans="2:40" x14ac:dyDescent="0.3">
      <c r="B10" t="s">
        <v>28</v>
      </c>
      <c r="C10" s="5">
        <v>14.5</v>
      </c>
      <c r="D10" s="5">
        <v>15.3</v>
      </c>
      <c r="E10" s="5">
        <v>15.9</v>
      </c>
      <c r="F10" s="5">
        <f>Z10-E10-D10-C10</f>
        <v>20.200000000000003</v>
      </c>
      <c r="G10" s="5">
        <v>19.100000000000001</v>
      </c>
      <c r="H10" s="5">
        <v>22.1</v>
      </c>
      <c r="I10" s="5">
        <v>23</v>
      </c>
      <c r="J10" s="5">
        <f>AA10-I10-H10-G10</f>
        <v>26.299999999999997</v>
      </c>
      <c r="K10" s="5">
        <v>23</v>
      </c>
      <c r="L10" s="5">
        <v>22.4</v>
      </c>
      <c r="M10" s="5">
        <v>21.4</v>
      </c>
      <c r="N10" s="5">
        <f>AB10-M10-L10-K10</f>
        <v>21.199999999999996</v>
      </c>
      <c r="O10" s="5">
        <v>24.8</v>
      </c>
      <c r="P10" s="5">
        <v>25.5</v>
      </c>
      <c r="Q10" s="5">
        <v>29.1</v>
      </c>
      <c r="R10" s="5">
        <v>30.9</v>
      </c>
      <c r="S10" s="5">
        <f>O10*1.35</f>
        <v>33.480000000000004</v>
      </c>
      <c r="T10" s="5">
        <f>P10*1.35</f>
        <v>34.425000000000004</v>
      </c>
      <c r="U10" s="5">
        <f>Q10*1.25</f>
        <v>36.375</v>
      </c>
      <c r="V10" s="5">
        <f>R10*1.25</f>
        <v>38.625</v>
      </c>
      <c r="X10" s="5">
        <v>44.5</v>
      </c>
      <c r="Y10" s="5">
        <v>53</v>
      </c>
      <c r="Z10" s="5">
        <v>65.900000000000006</v>
      </c>
      <c r="AA10" s="5">
        <v>90.5</v>
      </c>
      <c r="AB10" s="5">
        <v>88</v>
      </c>
      <c r="AC10" s="5">
        <f>SUM(O10:R10)</f>
        <v>110.30000000000001</v>
      </c>
      <c r="AD10" s="5">
        <f>SUM(S10:V10)</f>
        <v>142.905</v>
      </c>
      <c r="AE10" s="5">
        <f>AD10*1.08</f>
        <v>154.3374</v>
      </c>
      <c r="AF10" s="5">
        <f>AE10*1.04</f>
        <v>160.510896</v>
      </c>
      <c r="AG10" s="5">
        <f>AF10*1.03</f>
        <v>165.32622288000002</v>
      </c>
      <c r="AH10" s="5">
        <f>AG10*1.02</f>
        <v>168.63274733760002</v>
      </c>
      <c r="AI10" s="5">
        <f t="shared" ref="AI10:AN10" si="16">AH10*1.02</f>
        <v>172.00540228435202</v>
      </c>
      <c r="AJ10" s="5">
        <f t="shared" si="16"/>
        <v>175.44551033003907</v>
      </c>
      <c r="AK10" s="5">
        <f t="shared" si="16"/>
        <v>178.95442053663984</v>
      </c>
      <c r="AL10" s="5">
        <f t="shared" si="16"/>
        <v>182.53350894737264</v>
      </c>
      <c r="AM10" s="5">
        <f t="shared" si="16"/>
        <v>186.18417912632009</v>
      </c>
      <c r="AN10" s="5">
        <f t="shared" si="16"/>
        <v>189.90786270884649</v>
      </c>
    </row>
    <row r="11" spans="2:40" x14ac:dyDescent="0.3">
      <c r="B11" t="s">
        <v>29</v>
      </c>
      <c r="C11" s="5">
        <v>9.5</v>
      </c>
      <c r="D11" s="5">
        <v>9.4</v>
      </c>
      <c r="E11" s="5">
        <v>9.1</v>
      </c>
      <c r="F11" s="5">
        <f>Z11-E11-D11-C11</f>
        <v>11.899999999999999</v>
      </c>
      <c r="G11" s="5">
        <v>12.2</v>
      </c>
      <c r="H11" s="5">
        <v>12.3</v>
      </c>
      <c r="I11" s="5">
        <v>13.5</v>
      </c>
      <c r="J11" s="5">
        <f>AA11-I11-H11-G11</f>
        <v>14.700000000000003</v>
      </c>
      <c r="K11" s="5">
        <v>13.5</v>
      </c>
      <c r="L11" s="5">
        <v>12.9</v>
      </c>
      <c r="M11" s="5">
        <v>12.4</v>
      </c>
      <c r="N11" s="5">
        <f>AB11-M11-L11-K11</f>
        <v>13.700000000000003</v>
      </c>
      <c r="O11" s="5">
        <v>16.5</v>
      </c>
      <c r="P11" s="5">
        <v>16</v>
      </c>
      <c r="Q11" s="5">
        <v>16.600000000000001</v>
      </c>
      <c r="R11" s="5">
        <v>16</v>
      </c>
      <c r="S11" s="5">
        <f>S5*0.09</f>
        <v>18.327599999999997</v>
      </c>
      <c r="T11" s="5">
        <f t="shared" ref="T11:U11" si="17">T5*0.09</f>
        <v>19.129859999999997</v>
      </c>
      <c r="U11" s="5">
        <f t="shared" si="17"/>
        <v>20.454750000000001</v>
      </c>
      <c r="V11" s="5">
        <f>V5*0.08</f>
        <v>19.814400000000003</v>
      </c>
      <c r="X11" s="5">
        <v>28.2</v>
      </c>
      <c r="Y11" s="5">
        <v>29.3</v>
      </c>
      <c r="Z11" s="5">
        <v>39.9</v>
      </c>
      <c r="AA11" s="5">
        <v>52.7</v>
      </c>
      <c r="AB11" s="5">
        <v>52.5</v>
      </c>
      <c r="AC11" s="5">
        <f>SUM(O11:R11)</f>
        <v>65.099999999999994</v>
      </c>
      <c r="AD11" s="5">
        <f>SUM(S11:V11)</f>
        <v>77.726610000000008</v>
      </c>
      <c r="AE11" s="5">
        <f t="shared" ref="AE11:AN11" si="18">AE5*0.09</f>
        <v>95.116723199999996</v>
      </c>
      <c r="AF11" s="5">
        <f t="shared" si="18"/>
        <v>108.43724188799997</v>
      </c>
      <c r="AG11" s="5">
        <f t="shared" si="18"/>
        <v>118.76485664016</v>
      </c>
      <c r="AH11" s="5">
        <f t="shared" si="18"/>
        <v>127.71380807416801</v>
      </c>
      <c r="AI11" s="5">
        <f t="shared" si="18"/>
        <v>133.90621549385472</v>
      </c>
      <c r="AJ11" s="5">
        <f t="shared" si="18"/>
        <v>139.06144981022638</v>
      </c>
      <c r="AK11" s="5">
        <f t="shared" si="18"/>
        <v>143.23329330453316</v>
      </c>
      <c r="AL11" s="5">
        <f t="shared" si="18"/>
        <v>146.31121524508237</v>
      </c>
      <c r="AM11" s="5">
        <f t="shared" si="18"/>
        <v>149.45709330667631</v>
      </c>
      <c r="AN11" s="5">
        <f t="shared" si="18"/>
        <v>152.67247854220292</v>
      </c>
    </row>
    <row r="12" spans="2:40" x14ac:dyDescent="0.3">
      <c r="B12" t="s">
        <v>30</v>
      </c>
      <c r="C12" s="5">
        <v>3.5</v>
      </c>
      <c r="D12" s="5">
        <v>3.4</v>
      </c>
      <c r="E12" s="5">
        <v>4.0999999999999996</v>
      </c>
      <c r="F12" s="5">
        <f>Z12-E12-D12-C12</f>
        <v>6.3000000000000007</v>
      </c>
      <c r="G12" s="5">
        <v>6.1</v>
      </c>
      <c r="H12" s="5">
        <v>7.5</v>
      </c>
      <c r="I12" s="5">
        <v>5.3</v>
      </c>
      <c r="J12" s="5">
        <f>AA12-I12-H12-G12</f>
        <v>4.9999999999999982</v>
      </c>
      <c r="K12" s="5">
        <v>5</v>
      </c>
      <c r="L12" s="5">
        <v>5.6</v>
      </c>
      <c r="M12" s="5">
        <v>4.3</v>
      </c>
      <c r="N12" s="5">
        <f>AB12-M12-L12-K12</f>
        <v>5.4999999999999982</v>
      </c>
      <c r="O12" s="5">
        <v>4.8</v>
      </c>
      <c r="P12" s="5">
        <v>5.4</v>
      </c>
      <c r="Q12" s="5">
        <v>6.4</v>
      </c>
      <c r="R12" s="5">
        <v>7.6</v>
      </c>
      <c r="S12" s="5">
        <f>O12*1.5</f>
        <v>7.1999999999999993</v>
      </c>
      <c r="T12" s="5">
        <f>P12*1.5</f>
        <v>8.1000000000000014</v>
      </c>
      <c r="U12" s="5">
        <f>Q12*1.4</f>
        <v>8.9599999999999991</v>
      </c>
      <c r="V12" s="5">
        <f>R12*1.3</f>
        <v>9.879999999999999</v>
      </c>
      <c r="X12" s="5">
        <v>10.1</v>
      </c>
      <c r="Y12" s="5">
        <v>12.5</v>
      </c>
      <c r="Z12" s="5">
        <v>17.3</v>
      </c>
      <c r="AA12" s="5">
        <v>23.9</v>
      </c>
      <c r="AB12" s="5">
        <v>20.399999999999999</v>
      </c>
      <c r="AC12" s="5">
        <f>SUM(O12:R12)</f>
        <v>24.200000000000003</v>
      </c>
      <c r="AD12" s="5">
        <f>SUM(S12:V12)</f>
        <v>34.14</v>
      </c>
      <c r="AE12" s="5">
        <f>AD12*1.2</f>
        <v>40.967999999999996</v>
      </c>
      <c r="AF12" s="5">
        <f>AE12*1.1</f>
        <v>45.064799999999998</v>
      </c>
      <c r="AG12" s="5">
        <f>AF12*1.05</f>
        <v>47.318040000000003</v>
      </c>
      <c r="AH12" s="5">
        <f>AG12*1.03</f>
        <v>48.737581200000008</v>
      </c>
      <c r="AI12" s="5">
        <f>AH12*1.02</f>
        <v>49.712332824000008</v>
      </c>
      <c r="AJ12" s="5">
        <f t="shared" ref="AJ12:AN12" si="19">AI12*1.02</f>
        <v>50.706579480480009</v>
      </c>
      <c r="AK12" s="5">
        <f t="shared" si="19"/>
        <v>51.720711070089614</v>
      </c>
      <c r="AL12" s="5">
        <f t="shared" si="19"/>
        <v>52.75512529149141</v>
      </c>
      <c r="AM12" s="5">
        <f t="shared" si="19"/>
        <v>53.81022779732124</v>
      </c>
      <c r="AN12" s="5">
        <f t="shared" si="19"/>
        <v>54.886432353267665</v>
      </c>
    </row>
    <row r="13" spans="2:40" x14ac:dyDescent="0.3">
      <c r="B13" t="s">
        <v>31</v>
      </c>
      <c r="C13" s="5">
        <f t="shared" ref="C13:R13" si="20">SUM(C10:C12)</f>
        <v>27.5</v>
      </c>
      <c r="D13" s="5">
        <f t="shared" si="20"/>
        <v>28.1</v>
      </c>
      <c r="E13" s="5">
        <f t="shared" si="20"/>
        <v>29.1</v>
      </c>
      <c r="F13" s="5">
        <f t="shared" si="20"/>
        <v>38.400000000000006</v>
      </c>
      <c r="G13" s="5">
        <f t="shared" si="20"/>
        <v>37.4</v>
      </c>
      <c r="H13" s="5">
        <f t="shared" si="20"/>
        <v>41.900000000000006</v>
      </c>
      <c r="I13" s="5">
        <f t="shared" si="20"/>
        <v>41.8</v>
      </c>
      <c r="J13" s="5">
        <f t="shared" si="20"/>
        <v>46</v>
      </c>
      <c r="K13" s="5">
        <f t="shared" si="20"/>
        <v>41.5</v>
      </c>
      <c r="L13" s="5">
        <f t="shared" si="20"/>
        <v>40.9</v>
      </c>
      <c r="M13" s="5">
        <f t="shared" si="20"/>
        <v>38.099999999999994</v>
      </c>
      <c r="N13" s="5">
        <f t="shared" si="20"/>
        <v>40.4</v>
      </c>
      <c r="O13" s="5">
        <f t="shared" si="20"/>
        <v>46.099999999999994</v>
      </c>
      <c r="P13" s="5">
        <f t="shared" si="20"/>
        <v>46.9</v>
      </c>
      <c r="Q13" s="5">
        <f t="shared" si="20"/>
        <v>52.1</v>
      </c>
      <c r="R13" s="5">
        <f t="shared" si="20"/>
        <v>54.5</v>
      </c>
      <c r="S13" s="5">
        <f t="shared" ref="S13" si="21">SUM(S10:S12)</f>
        <v>59.007599999999996</v>
      </c>
      <c r="T13" s="5">
        <f t="shared" ref="T13" si="22">SUM(T10:T12)</f>
        <v>61.654860000000006</v>
      </c>
      <c r="U13" s="5">
        <f t="shared" ref="U13" si="23">SUM(U10:U12)</f>
        <v>65.789749999999998</v>
      </c>
      <c r="V13" s="5">
        <f t="shared" ref="V13" si="24">SUM(V10:V12)</f>
        <v>68.319400000000002</v>
      </c>
      <c r="X13" s="5">
        <f t="shared" ref="X13:AC13" si="25">SUM(X10:X12)</f>
        <v>82.8</v>
      </c>
      <c r="Y13" s="5">
        <f t="shared" si="25"/>
        <v>94.8</v>
      </c>
      <c r="Z13" s="5">
        <f t="shared" si="25"/>
        <v>123.10000000000001</v>
      </c>
      <c r="AA13" s="5">
        <f t="shared" si="25"/>
        <v>167.1</v>
      </c>
      <c r="AB13" s="5">
        <f t="shared" si="25"/>
        <v>160.9</v>
      </c>
      <c r="AC13" s="5">
        <f t="shared" si="25"/>
        <v>199.60000000000002</v>
      </c>
      <c r="AD13" s="5">
        <f t="shared" ref="AD13:AN13" si="26">SUM(AD10:AD12)</f>
        <v>254.77161000000001</v>
      </c>
      <c r="AE13" s="5">
        <f t="shared" si="26"/>
        <v>290.42212319999999</v>
      </c>
      <c r="AF13" s="5">
        <f t="shared" si="26"/>
        <v>314.01293788799995</v>
      </c>
      <c r="AG13" s="5">
        <f t="shared" si="26"/>
        <v>331.40911952016</v>
      </c>
      <c r="AH13" s="5">
        <f t="shared" si="26"/>
        <v>345.08413661176803</v>
      </c>
      <c r="AI13" s="5">
        <f t="shared" si="26"/>
        <v>355.62395060220672</v>
      </c>
      <c r="AJ13" s="5">
        <f t="shared" si="26"/>
        <v>365.21353962074545</v>
      </c>
      <c r="AK13" s="5">
        <f t="shared" si="26"/>
        <v>373.90842491126267</v>
      </c>
      <c r="AL13" s="5">
        <f t="shared" si="26"/>
        <v>381.59984948394646</v>
      </c>
      <c r="AM13" s="5">
        <f t="shared" si="26"/>
        <v>389.45150023031766</v>
      </c>
      <c r="AN13" s="5">
        <f t="shared" si="26"/>
        <v>397.46677360431704</v>
      </c>
    </row>
    <row r="14" spans="2:40" s="1" customFormat="1" x14ac:dyDescent="0.3">
      <c r="B14" s="1" t="s">
        <v>32</v>
      </c>
      <c r="C14" s="8">
        <f t="shared" ref="C14:R14" si="27">C9-C13</f>
        <v>19.899999999999984</v>
      </c>
      <c r="D14" s="8">
        <f t="shared" si="27"/>
        <v>27.299999999999997</v>
      </c>
      <c r="E14" s="8">
        <f t="shared" si="27"/>
        <v>35.599999999999987</v>
      </c>
      <c r="F14" s="8">
        <f t="shared" si="27"/>
        <v>29.500000000000028</v>
      </c>
      <c r="G14" s="8">
        <f t="shared" si="27"/>
        <v>37.1</v>
      </c>
      <c r="H14" s="8">
        <f t="shared" si="27"/>
        <v>36.999999999999986</v>
      </c>
      <c r="I14" s="8">
        <f t="shared" si="27"/>
        <v>38.90000000000002</v>
      </c>
      <c r="J14" s="8">
        <f t="shared" si="27"/>
        <v>36.900000000000006</v>
      </c>
      <c r="K14" s="8">
        <f t="shared" si="27"/>
        <v>35.799999999999983</v>
      </c>
      <c r="L14" s="8">
        <f t="shared" si="27"/>
        <v>28.79999999999999</v>
      </c>
      <c r="M14" s="8">
        <f t="shared" si="27"/>
        <v>34.100000000000023</v>
      </c>
      <c r="N14" s="8">
        <f t="shared" si="27"/>
        <v>33.500000000000007</v>
      </c>
      <c r="O14" s="8">
        <f t="shared" si="27"/>
        <v>37.199999999999989</v>
      </c>
      <c r="P14" s="8">
        <f t="shared" si="27"/>
        <v>45.699999999999982</v>
      </c>
      <c r="Q14" s="8">
        <f t="shared" si="27"/>
        <v>49.199999999999982</v>
      </c>
      <c r="R14" s="8">
        <f t="shared" si="27"/>
        <v>55.399999999999991</v>
      </c>
      <c r="S14" s="8">
        <f t="shared" ref="S14" si="28">S9-S13</f>
        <v>63.176399999999987</v>
      </c>
      <c r="T14" s="8">
        <f t="shared" ref="T14" si="29">T9-T13</f>
        <v>65.877539999999982</v>
      </c>
      <c r="U14" s="8">
        <f t="shared" ref="U14" si="30">U9-U13</f>
        <v>66.029750000000007</v>
      </c>
      <c r="V14" s="8">
        <f t="shared" ref="V14" si="31">V9-V13</f>
        <v>70.381400000000014</v>
      </c>
      <c r="X14" s="8">
        <f t="shared" ref="X14:AC14" si="32">X9-X13</f>
        <v>38.999999999999986</v>
      </c>
      <c r="Y14" s="8">
        <f t="shared" si="32"/>
        <v>58.100000000000037</v>
      </c>
      <c r="Z14" s="8">
        <f t="shared" si="32"/>
        <v>112.30000000000003</v>
      </c>
      <c r="AA14" s="8">
        <f t="shared" si="32"/>
        <v>149.89999999999995</v>
      </c>
      <c r="AB14" s="8">
        <f t="shared" si="32"/>
        <v>132.19999999999996</v>
      </c>
      <c r="AC14" s="8">
        <f t="shared" si="32"/>
        <v>187.49999999999994</v>
      </c>
      <c r="AD14" s="8">
        <f t="shared" ref="AD14:AN14" si="33">AD9-AD13</f>
        <v>265.46508999999992</v>
      </c>
      <c r="AE14" s="8">
        <f t="shared" si="33"/>
        <v>322.55231520000007</v>
      </c>
      <c r="AF14" s="8">
        <f t="shared" si="33"/>
        <v>384.80484316799999</v>
      </c>
      <c r="AG14" s="8">
        <f t="shared" si="33"/>
        <v>433.96440104976006</v>
      </c>
      <c r="AH14" s="8">
        <f t="shared" si="33"/>
        <v>477.96040431064807</v>
      </c>
      <c r="AI14" s="8">
        <f t="shared" si="33"/>
        <v>507.32721591374604</v>
      </c>
      <c r="AJ14" s="8">
        <f t="shared" si="33"/>
        <v>530.96024804515787</v>
      </c>
      <c r="AK14" s="8">
        <f t="shared" si="33"/>
        <v>549.15057638461758</v>
      </c>
      <c r="AL14" s="8">
        <f t="shared" si="33"/>
        <v>561.29464876214001</v>
      </c>
      <c r="AM14" s="8">
        <f t="shared" si="33"/>
        <v>573.71643441270749</v>
      </c>
      <c r="AN14" s="8">
        <f t="shared" si="33"/>
        <v>586.42253255654634</v>
      </c>
    </row>
    <row r="15" spans="2:40" x14ac:dyDescent="0.3">
      <c r="B15" t="s">
        <v>33</v>
      </c>
      <c r="C15" s="5">
        <v>-0.4</v>
      </c>
      <c r="D15" s="5">
        <v>1.2</v>
      </c>
      <c r="E15" s="5">
        <v>-0.9</v>
      </c>
      <c r="F15" s="5">
        <f>Z15-E15-D15-C15</f>
        <v>3.1999999999999997</v>
      </c>
      <c r="G15" s="5">
        <v>-1.2</v>
      </c>
      <c r="H15" s="5">
        <v>-3.6</v>
      </c>
      <c r="I15" s="5">
        <v>-1.5</v>
      </c>
      <c r="J15" s="5">
        <f>AA15-I15-H15-G15</f>
        <v>-2.2000000000000002</v>
      </c>
      <c r="K15" s="5">
        <v>-4.7</v>
      </c>
      <c r="L15" s="5">
        <v>-5.6</v>
      </c>
      <c r="M15" s="5">
        <v>-4.8</v>
      </c>
      <c r="N15" s="5">
        <f>AB15-M15-L15-K15</f>
        <v>-7.299999999999998</v>
      </c>
      <c r="O15" s="5">
        <v>-6</v>
      </c>
      <c r="P15" s="5">
        <v>-8</v>
      </c>
      <c r="Q15" s="5">
        <v>-11</v>
      </c>
      <c r="R15" s="5">
        <v>-3.8</v>
      </c>
      <c r="S15" s="5">
        <f>O15*1.03</f>
        <v>-6.18</v>
      </c>
      <c r="T15" s="5">
        <f t="shared" ref="T15:V15" si="34">P15*1.03</f>
        <v>-8.24</v>
      </c>
      <c r="U15" s="5">
        <f t="shared" si="34"/>
        <v>-11.33</v>
      </c>
      <c r="V15" s="5">
        <f t="shared" si="34"/>
        <v>-3.9139999999999997</v>
      </c>
      <c r="X15" s="5">
        <v>-3.1</v>
      </c>
      <c r="Y15" s="5">
        <v>-0.9</v>
      </c>
      <c r="Z15" s="5">
        <v>3.1</v>
      </c>
      <c r="AA15" s="5">
        <v>-8.5</v>
      </c>
      <c r="AB15" s="5">
        <v>-22.4</v>
      </c>
      <c r="AC15" s="5">
        <f>SUM(O15:R15)</f>
        <v>-28.8</v>
      </c>
      <c r="AD15" s="5">
        <f>SUM(S15:V15)</f>
        <v>-29.664000000000001</v>
      </c>
      <c r="AE15" s="5">
        <f t="shared" ref="AE15:AN15" si="35">AD15*1.03</f>
        <v>-30.553920000000002</v>
      </c>
      <c r="AF15" s="5">
        <f t="shared" si="35"/>
        <v>-31.470537600000004</v>
      </c>
      <c r="AG15" s="5">
        <f t="shared" si="35"/>
        <v>-32.414653728000005</v>
      </c>
      <c r="AH15" s="5">
        <f t="shared" si="35"/>
        <v>-33.387093339840007</v>
      </c>
      <c r="AI15" s="5">
        <f t="shared" si="35"/>
        <v>-34.388706140035211</v>
      </c>
      <c r="AJ15" s="5">
        <f t="shared" si="35"/>
        <v>-35.420367324236267</v>
      </c>
      <c r="AK15" s="5">
        <f t="shared" si="35"/>
        <v>-36.482978343963353</v>
      </c>
      <c r="AL15" s="5">
        <f t="shared" si="35"/>
        <v>-37.577467694282255</v>
      </c>
      <c r="AM15" s="5">
        <f t="shared" si="35"/>
        <v>-38.704791725110724</v>
      </c>
      <c r="AN15" s="5">
        <f t="shared" si="35"/>
        <v>-39.865935476864045</v>
      </c>
    </row>
    <row r="16" spans="2:40" s="1" customFormat="1" x14ac:dyDescent="0.3">
      <c r="B16" s="1" t="s">
        <v>34</v>
      </c>
      <c r="C16" s="8">
        <f t="shared" ref="C16:R16" si="36">C14-C15</f>
        <v>20.299999999999983</v>
      </c>
      <c r="D16" s="8">
        <f t="shared" si="36"/>
        <v>26.099999999999998</v>
      </c>
      <c r="E16" s="8">
        <f t="shared" si="36"/>
        <v>36.499999999999986</v>
      </c>
      <c r="F16" s="8">
        <f t="shared" si="36"/>
        <v>26.300000000000029</v>
      </c>
      <c r="G16" s="8">
        <f t="shared" si="36"/>
        <v>38.300000000000004</v>
      </c>
      <c r="H16" s="8">
        <f t="shared" si="36"/>
        <v>40.599999999999987</v>
      </c>
      <c r="I16" s="8">
        <f t="shared" si="36"/>
        <v>40.40000000000002</v>
      </c>
      <c r="J16" s="8">
        <f t="shared" si="36"/>
        <v>39.100000000000009</v>
      </c>
      <c r="K16" s="8">
        <f t="shared" si="36"/>
        <v>40.499999999999986</v>
      </c>
      <c r="L16" s="8">
        <f t="shared" si="36"/>
        <v>34.399999999999991</v>
      </c>
      <c r="M16" s="8">
        <f t="shared" si="36"/>
        <v>38.90000000000002</v>
      </c>
      <c r="N16" s="8">
        <f t="shared" si="36"/>
        <v>40.800000000000004</v>
      </c>
      <c r="O16" s="8">
        <f t="shared" si="36"/>
        <v>43.199999999999989</v>
      </c>
      <c r="P16" s="8">
        <f t="shared" si="36"/>
        <v>53.699999999999982</v>
      </c>
      <c r="Q16" s="8">
        <f t="shared" si="36"/>
        <v>60.199999999999982</v>
      </c>
      <c r="R16" s="8">
        <f t="shared" si="36"/>
        <v>59.199999999999989</v>
      </c>
      <c r="S16" s="8">
        <f t="shared" ref="S16" si="37">S14-S15</f>
        <v>69.356399999999979</v>
      </c>
      <c r="T16" s="8">
        <f t="shared" ref="T16" si="38">T14-T15</f>
        <v>74.117539999999977</v>
      </c>
      <c r="U16" s="8">
        <f t="shared" ref="U16" si="39">U14-U15</f>
        <v>77.359750000000005</v>
      </c>
      <c r="V16" s="8">
        <f t="shared" ref="V16" si="40">V14-V15</f>
        <v>74.295400000000015</v>
      </c>
      <c r="X16" s="8">
        <f t="shared" ref="X16:AC16" si="41">X14-X15</f>
        <v>42.099999999999987</v>
      </c>
      <c r="Y16" s="8">
        <f t="shared" si="41"/>
        <v>59.000000000000036</v>
      </c>
      <c r="Z16" s="8">
        <f t="shared" si="41"/>
        <v>109.20000000000003</v>
      </c>
      <c r="AA16" s="8">
        <f t="shared" si="41"/>
        <v>158.39999999999995</v>
      </c>
      <c r="AB16" s="8">
        <f t="shared" si="41"/>
        <v>154.59999999999997</v>
      </c>
      <c r="AC16" s="8">
        <f t="shared" si="41"/>
        <v>216.29999999999995</v>
      </c>
      <c r="AD16" s="8">
        <f t="shared" ref="AD16:AN16" si="42">AD14-AD15</f>
        <v>295.12908999999991</v>
      </c>
      <c r="AE16" s="8">
        <f t="shared" si="42"/>
        <v>353.10623520000007</v>
      </c>
      <c r="AF16" s="8">
        <f t="shared" si="42"/>
        <v>416.27538076799999</v>
      </c>
      <c r="AG16" s="8">
        <f t="shared" si="42"/>
        <v>466.37905477776008</v>
      </c>
      <c r="AH16" s="8">
        <f t="shared" si="42"/>
        <v>511.34749765048809</v>
      </c>
      <c r="AI16" s="8">
        <f t="shared" si="42"/>
        <v>541.71592205378124</v>
      </c>
      <c r="AJ16" s="8">
        <f t="shared" si="42"/>
        <v>566.38061536939415</v>
      </c>
      <c r="AK16" s="8">
        <f t="shared" si="42"/>
        <v>585.63355472858098</v>
      </c>
      <c r="AL16" s="8">
        <f t="shared" si="42"/>
        <v>598.8721164564223</v>
      </c>
      <c r="AM16" s="8">
        <f t="shared" si="42"/>
        <v>612.42122613781817</v>
      </c>
      <c r="AN16" s="8">
        <f t="shared" si="42"/>
        <v>626.28846803341037</v>
      </c>
    </row>
    <row r="17" spans="2:148" x14ac:dyDescent="0.3">
      <c r="B17" t="s">
        <v>35</v>
      </c>
      <c r="C17" s="5">
        <v>2.6</v>
      </c>
      <c r="D17" s="5">
        <v>3.1</v>
      </c>
      <c r="E17" s="5">
        <v>4.3</v>
      </c>
      <c r="F17" s="5">
        <f>Z17-E17-D17-C17</f>
        <v>6.1999999999999993</v>
      </c>
      <c r="G17" s="5">
        <v>4.2</v>
      </c>
      <c r="H17" s="5">
        <v>5.7</v>
      </c>
      <c r="I17" s="5">
        <v>5.4</v>
      </c>
      <c r="J17" s="5">
        <f>AA17-I17-H17-G17</f>
        <v>2.8999999999999986</v>
      </c>
      <c r="K17" s="5">
        <v>5.8</v>
      </c>
      <c r="L17" s="5">
        <v>4.4000000000000004</v>
      </c>
      <c r="M17" s="5">
        <v>5.3</v>
      </c>
      <c r="N17" s="5">
        <f>AB17-M17-L17-K17</f>
        <v>2.8999999999999977</v>
      </c>
      <c r="O17" s="5">
        <v>6.4</v>
      </c>
      <c r="P17" s="5">
        <v>8.4</v>
      </c>
      <c r="Q17" s="5">
        <v>9</v>
      </c>
      <c r="R17" s="5">
        <v>8.6999999999999993</v>
      </c>
      <c r="S17" s="5">
        <f>S16*0.15</f>
        <v>10.403459999999997</v>
      </c>
      <c r="T17" s="5">
        <f t="shared" ref="T17:V17" si="43">T16*0.15</f>
        <v>11.117630999999996</v>
      </c>
      <c r="U17" s="5">
        <f t="shared" si="43"/>
        <v>11.6039625</v>
      </c>
      <c r="V17" s="5">
        <f t="shared" si="43"/>
        <v>11.144310000000003</v>
      </c>
      <c r="X17" s="5">
        <v>4.3</v>
      </c>
      <c r="Y17" s="5">
        <v>8.6</v>
      </c>
      <c r="Z17" s="5">
        <v>16.2</v>
      </c>
      <c r="AA17" s="5">
        <v>18.2</v>
      </c>
      <c r="AB17" s="5">
        <v>18.399999999999999</v>
      </c>
      <c r="AC17" s="5">
        <f>SUM(O17:R17)</f>
        <v>32.5</v>
      </c>
      <c r="AD17" s="5">
        <f>SUM(S17:V17)</f>
        <v>44.269363499999997</v>
      </c>
      <c r="AE17" s="5">
        <f t="shared" ref="AE17:AN17" si="44">AE16*0.15</f>
        <v>52.965935280000011</v>
      </c>
      <c r="AF17" s="5">
        <f t="shared" si="44"/>
        <v>62.441307115199997</v>
      </c>
      <c r="AG17" s="5">
        <f t="shared" si="44"/>
        <v>69.956858216664003</v>
      </c>
      <c r="AH17" s="5">
        <f t="shared" si="44"/>
        <v>76.702124647573214</v>
      </c>
      <c r="AI17" s="5">
        <f t="shared" si="44"/>
        <v>81.257388308067178</v>
      </c>
      <c r="AJ17" s="5">
        <f t="shared" si="44"/>
        <v>84.95709230540912</v>
      </c>
      <c r="AK17" s="5">
        <f t="shared" si="44"/>
        <v>87.845033209287138</v>
      </c>
      <c r="AL17" s="5">
        <f t="shared" si="44"/>
        <v>89.830817468463337</v>
      </c>
      <c r="AM17" s="5">
        <f t="shared" si="44"/>
        <v>91.863183920672725</v>
      </c>
      <c r="AN17" s="5">
        <f t="shared" si="44"/>
        <v>93.943270205011558</v>
      </c>
    </row>
    <row r="18" spans="2:148" s="1" customFormat="1" x14ac:dyDescent="0.3">
      <c r="B18" s="1" t="s">
        <v>36</v>
      </c>
      <c r="C18" s="8">
        <f t="shared" ref="C18:R18" si="45">C16-C17</f>
        <v>17.699999999999982</v>
      </c>
      <c r="D18" s="8">
        <f t="shared" si="45"/>
        <v>22.999999999999996</v>
      </c>
      <c r="E18" s="8">
        <f t="shared" si="45"/>
        <v>32.199999999999989</v>
      </c>
      <c r="F18" s="8">
        <f t="shared" si="45"/>
        <v>20.10000000000003</v>
      </c>
      <c r="G18" s="8">
        <f t="shared" si="45"/>
        <v>34.1</v>
      </c>
      <c r="H18" s="8">
        <f t="shared" si="45"/>
        <v>34.899999999999984</v>
      </c>
      <c r="I18" s="8">
        <f t="shared" si="45"/>
        <v>35.000000000000021</v>
      </c>
      <c r="J18" s="8">
        <f t="shared" si="45"/>
        <v>36.20000000000001</v>
      </c>
      <c r="K18" s="8">
        <f t="shared" si="45"/>
        <v>34.699999999999989</v>
      </c>
      <c r="L18" s="8">
        <f t="shared" si="45"/>
        <v>29.999999999999993</v>
      </c>
      <c r="M18" s="8">
        <f t="shared" si="45"/>
        <v>33.600000000000023</v>
      </c>
      <c r="N18" s="8">
        <f t="shared" si="45"/>
        <v>37.900000000000006</v>
      </c>
      <c r="O18" s="8">
        <f t="shared" si="45"/>
        <v>36.79999999999999</v>
      </c>
      <c r="P18" s="8">
        <f t="shared" si="45"/>
        <v>45.299999999999983</v>
      </c>
      <c r="Q18" s="8">
        <f t="shared" si="45"/>
        <v>51.199999999999982</v>
      </c>
      <c r="R18" s="8">
        <f t="shared" si="45"/>
        <v>50.499999999999986</v>
      </c>
      <c r="S18" s="8">
        <f t="shared" ref="S18" si="46">S16-S17</f>
        <v>58.952939999999984</v>
      </c>
      <c r="T18" s="8">
        <f t="shared" ref="T18" si="47">T16-T17</f>
        <v>62.999908999999981</v>
      </c>
      <c r="U18" s="8">
        <f t="shared" ref="U18" si="48">U16-U17</f>
        <v>65.755787500000011</v>
      </c>
      <c r="V18" s="8">
        <f t="shared" ref="V18" si="49">V16-V17</f>
        <v>63.151090000000011</v>
      </c>
      <c r="X18" s="8">
        <f t="shared" ref="X18:AD18" si="50">X16-X17</f>
        <v>37.79999999999999</v>
      </c>
      <c r="Y18" s="8">
        <f t="shared" si="50"/>
        <v>50.400000000000034</v>
      </c>
      <c r="Z18" s="8">
        <f t="shared" si="50"/>
        <v>93.000000000000028</v>
      </c>
      <c r="AA18" s="8">
        <f t="shared" si="50"/>
        <v>140.19999999999996</v>
      </c>
      <c r="AB18" s="8">
        <f t="shared" si="50"/>
        <v>136.19999999999996</v>
      </c>
      <c r="AC18" s="8">
        <f t="shared" si="50"/>
        <v>183.79999999999995</v>
      </c>
      <c r="AD18" s="8">
        <f t="shared" si="50"/>
        <v>250.85972649999991</v>
      </c>
      <c r="AE18" s="8">
        <f t="shared" ref="AE18:AN18" si="51">AE16-AE17</f>
        <v>300.14029992000007</v>
      </c>
      <c r="AF18" s="8">
        <f t="shared" si="51"/>
        <v>353.83407365279999</v>
      </c>
      <c r="AG18" s="8">
        <f t="shared" si="51"/>
        <v>396.42219656109609</v>
      </c>
      <c r="AH18" s="8">
        <f t="shared" si="51"/>
        <v>434.64537300291488</v>
      </c>
      <c r="AI18" s="8">
        <f t="shared" si="51"/>
        <v>460.45853374571408</v>
      </c>
      <c r="AJ18" s="8">
        <f t="shared" si="51"/>
        <v>481.42352306398504</v>
      </c>
      <c r="AK18" s="8">
        <f t="shared" si="51"/>
        <v>497.78852151929385</v>
      </c>
      <c r="AL18" s="8">
        <f t="shared" si="51"/>
        <v>509.04129898795895</v>
      </c>
      <c r="AM18" s="8">
        <f t="shared" si="51"/>
        <v>520.55804221714538</v>
      </c>
      <c r="AN18" s="8">
        <f t="shared" si="51"/>
        <v>532.3451978283988</v>
      </c>
      <c r="AO18" s="1">
        <f>AN18*(1+$AR$24)</f>
        <v>527.02174585011483</v>
      </c>
      <c r="AP18" s="1">
        <f t="shared" ref="AP18:DA18" si="52">AO18*(1+$AR$24)</f>
        <v>521.75152839161365</v>
      </c>
      <c r="AQ18" s="1">
        <f t="shared" si="52"/>
        <v>516.53401310769755</v>
      </c>
      <c r="AR18" s="1">
        <f t="shared" si="52"/>
        <v>511.36867297662059</v>
      </c>
      <c r="AS18" s="1">
        <f t="shared" si="52"/>
        <v>506.2549862468544</v>
      </c>
      <c r="AT18" s="1">
        <f t="shared" si="52"/>
        <v>501.19243638438587</v>
      </c>
      <c r="AU18" s="1">
        <f t="shared" si="52"/>
        <v>496.18051202054198</v>
      </c>
      <c r="AV18" s="1">
        <f t="shared" si="52"/>
        <v>491.21870690033654</v>
      </c>
      <c r="AW18" s="1">
        <f t="shared" si="52"/>
        <v>486.30651983133316</v>
      </c>
      <c r="AX18" s="1">
        <f t="shared" si="52"/>
        <v>481.44345463301983</v>
      </c>
      <c r="AY18" s="1">
        <f t="shared" si="52"/>
        <v>476.62902008668965</v>
      </c>
      <c r="AZ18" s="1">
        <f t="shared" si="52"/>
        <v>471.86272988582277</v>
      </c>
      <c r="BA18" s="1">
        <f t="shared" si="52"/>
        <v>467.14410258696455</v>
      </c>
      <c r="BB18" s="1">
        <f t="shared" si="52"/>
        <v>462.47266156109492</v>
      </c>
      <c r="BC18" s="1">
        <f t="shared" si="52"/>
        <v>457.84793494548398</v>
      </c>
      <c r="BD18" s="1">
        <f t="shared" si="52"/>
        <v>453.26945559602916</v>
      </c>
      <c r="BE18" s="1">
        <f t="shared" si="52"/>
        <v>448.73676104006887</v>
      </c>
      <c r="BF18" s="1">
        <f t="shared" si="52"/>
        <v>444.2493934296682</v>
      </c>
      <c r="BG18" s="1">
        <f t="shared" si="52"/>
        <v>439.80689949537151</v>
      </c>
      <c r="BH18" s="1">
        <f t="shared" si="52"/>
        <v>435.40883050041776</v>
      </c>
      <c r="BI18" s="1">
        <f t="shared" si="52"/>
        <v>431.05474219541361</v>
      </c>
      <c r="BJ18" s="1">
        <f t="shared" si="52"/>
        <v>426.74419477345947</v>
      </c>
      <c r="BK18" s="1">
        <f t="shared" si="52"/>
        <v>422.47675282572487</v>
      </c>
      <c r="BL18" s="1">
        <f t="shared" si="52"/>
        <v>418.25198529746763</v>
      </c>
      <c r="BM18" s="1">
        <f t="shared" si="52"/>
        <v>414.06946544449295</v>
      </c>
      <c r="BN18" s="1">
        <f t="shared" si="52"/>
        <v>409.92877079004802</v>
      </c>
      <c r="BO18" s="1">
        <f t="shared" si="52"/>
        <v>405.82948308214753</v>
      </c>
      <c r="BP18" s="1">
        <f t="shared" si="52"/>
        <v>401.77118825132607</v>
      </c>
      <c r="BQ18" s="1">
        <f t="shared" si="52"/>
        <v>397.75347636881281</v>
      </c>
      <c r="BR18" s="1">
        <f t="shared" si="52"/>
        <v>393.77594160512467</v>
      </c>
      <c r="BS18" s="1">
        <f t="shared" si="52"/>
        <v>389.83818218907339</v>
      </c>
      <c r="BT18" s="1">
        <f t="shared" si="52"/>
        <v>385.93980036718267</v>
      </c>
      <c r="BU18" s="1">
        <f t="shared" si="52"/>
        <v>382.08040236351081</v>
      </c>
      <c r="BV18" s="1">
        <f t="shared" si="52"/>
        <v>378.25959833987571</v>
      </c>
      <c r="BW18" s="1">
        <f t="shared" si="52"/>
        <v>374.47700235647693</v>
      </c>
      <c r="BX18" s="1">
        <f t="shared" si="52"/>
        <v>370.73223233291213</v>
      </c>
      <c r="BY18" s="1">
        <f t="shared" si="52"/>
        <v>367.02491000958298</v>
      </c>
      <c r="BZ18" s="1">
        <f t="shared" si="52"/>
        <v>363.35466090948717</v>
      </c>
      <c r="CA18" s="1">
        <f t="shared" si="52"/>
        <v>359.72111430039229</v>
      </c>
      <c r="CB18" s="1">
        <f t="shared" si="52"/>
        <v>356.12390315738838</v>
      </c>
      <c r="CC18" s="1">
        <f t="shared" si="52"/>
        <v>352.56266412581448</v>
      </c>
      <c r="CD18" s="1">
        <f t="shared" si="52"/>
        <v>349.03703748455632</v>
      </c>
      <c r="CE18" s="1">
        <f t="shared" si="52"/>
        <v>345.54666710971077</v>
      </c>
      <c r="CF18" s="1">
        <f t="shared" si="52"/>
        <v>342.09120043861367</v>
      </c>
      <c r="CG18" s="1">
        <f t="shared" si="52"/>
        <v>338.67028843422753</v>
      </c>
      <c r="CH18" s="1">
        <f t="shared" si="52"/>
        <v>335.28358554988523</v>
      </c>
      <c r="CI18" s="1">
        <f t="shared" si="52"/>
        <v>331.93074969438635</v>
      </c>
      <c r="CJ18" s="1">
        <f t="shared" si="52"/>
        <v>328.6114421974425</v>
      </c>
      <c r="CK18" s="1">
        <f t="shared" si="52"/>
        <v>325.32532777546805</v>
      </c>
      <c r="CL18" s="1">
        <f t="shared" si="52"/>
        <v>322.07207449771334</v>
      </c>
      <c r="CM18" s="1">
        <f t="shared" si="52"/>
        <v>318.8513537527362</v>
      </c>
      <c r="CN18" s="1">
        <f t="shared" si="52"/>
        <v>315.66284021520886</v>
      </c>
      <c r="CO18" s="1">
        <f t="shared" si="52"/>
        <v>312.50621181305678</v>
      </c>
      <c r="CP18" s="1">
        <f t="shared" si="52"/>
        <v>309.38114969492619</v>
      </c>
      <c r="CQ18" s="1">
        <f t="shared" si="52"/>
        <v>306.28733819797691</v>
      </c>
      <c r="CR18" s="1">
        <f t="shared" si="52"/>
        <v>303.22446481599712</v>
      </c>
      <c r="CS18" s="1">
        <f t="shared" si="52"/>
        <v>300.19222016783715</v>
      </c>
      <c r="CT18" s="1">
        <f t="shared" si="52"/>
        <v>297.19029796615877</v>
      </c>
      <c r="CU18" s="1">
        <f t="shared" si="52"/>
        <v>294.21839498649717</v>
      </c>
      <c r="CV18" s="1">
        <f t="shared" si="52"/>
        <v>291.27621103663222</v>
      </c>
      <c r="CW18" s="1">
        <f t="shared" si="52"/>
        <v>288.3634489262659</v>
      </c>
      <c r="CX18" s="1">
        <f t="shared" si="52"/>
        <v>285.47981443700326</v>
      </c>
      <c r="CY18" s="1">
        <f t="shared" si="52"/>
        <v>282.62501629263323</v>
      </c>
      <c r="CZ18" s="1">
        <f t="shared" si="52"/>
        <v>279.79876612970691</v>
      </c>
      <c r="DA18" s="1">
        <f t="shared" si="52"/>
        <v>277.00077846840981</v>
      </c>
      <c r="DB18" s="1">
        <f t="shared" ref="DB18:ER18" si="53">DA18*(1+$AR$24)</f>
        <v>274.23077068372572</v>
      </c>
      <c r="DC18" s="1">
        <f t="shared" si="53"/>
        <v>271.48846297688846</v>
      </c>
      <c r="DD18" s="1">
        <f t="shared" si="53"/>
        <v>268.77357834711955</v>
      </c>
      <c r="DE18" s="1">
        <f t="shared" si="53"/>
        <v>266.08584256364833</v>
      </c>
      <c r="DF18" s="1">
        <f t="shared" si="53"/>
        <v>263.42498413801184</v>
      </c>
      <c r="DG18" s="1">
        <f t="shared" si="53"/>
        <v>260.79073429663174</v>
      </c>
      <c r="DH18" s="1">
        <f t="shared" si="53"/>
        <v>258.18282695366543</v>
      </c>
      <c r="DI18" s="1">
        <f t="shared" si="53"/>
        <v>255.60099868412877</v>
      </c>
      <c r="DJ18" s="1">
        <f t="shared" si="53"/>
        <v>253.04498869728747</v>
      </c>
      <c r="DK18" s="1">
        <f t="shared" si="53"/>
        <v>250.51453881031458</v>
      </c>
      <c r="DL18" s="1">
        <f t="shared" si="53"/>
        <v>248.00939342221142</v>
      </c>
      <c r="DM18" s="1">
        <f t="shared" si="53"/>
        <v>245.52929948798931</v>
      </c>
      <c r="DN18" s="1">
        <f t="shared" si="53"/>
        <v>243.07400649310941</v>
      </c>
      <c r="DO18" s="1">
        <f t="shared" si="53"/>
        <v>240.64326642817832</v>
      </c>
      <c r="DP18" s="1">
        <f t="shared" si="53"/>
        <v>238.23683376389653</v>
      </c>
      <c r="DQ18" s="1">
        <f t="shared" si="53"/>
        <v>235.85446542625755</v>
      </c>
      <c r="DR18" s="1">
        <f t="shared" si="53"/>
        <v>233.49592077199497</v>
      </c>
      <c r="DS18" s="1">
        <f t="shared" si="53"/>
        <v>231.16096156427503</v>
      </c>
      <c r="DT18" s="1">
        <f t="shared" si="53"/>
        <v>228.84935194863226</v>
      </c>
      <c r="DU18" s="1">
        <f t="shared" si="53"/>
        <v>226.56085842914592</v>
      </c>
      <c r="DV18" s="1">
        <f t="shared" si="53"/>
        <v>224.29524984485445</v>
      </c>
      <c r="DW18" s="1">
        <f t="shared" si="53"/>
        <v>222.05229734640591</v>
      </c>
      <c r="DX18" s="1">
        <f t="shared" si="53"/>
        <v>219.83177437294185</v>
      </c>
      <c r="DY18" s="1">
        <f t="shared" si="53"/>
        <v>217.63345662921242</v>
      </c>
      <c r="DZ18" s="1">
        <f t="shared" si="53"/>
        <v>215.45712206292029</v>
      </c>
      <c r="EA18" s="1">
        <f t="shared" si="53"/>
        <v>213.30255084229108</v>
      </c>
      <c r="EB18" s="1">
        <f t="shared" si="53"/>
        <v>211.16952533386817</v>
      </c>
      <c r="EC18" s="1">
        <f t="shared" si="53"/>
        <v>209.05783008052947</v>
      </c>
      <c r="ED18" s="1">
        <f t="shared" si="53"/>
        <v>206.96725177972417</v>
      </c>
      <c r="EE18" s="1">
        <f t="shared" si="53"/>
        <v>204.89757926192692</v>
      </c>
      <c r="EF18" s="1">
        <f t="shared" si="53"/>
        <v>202.84860346930765</v>
      </c>
      <c r="EG18" s="1">
        <f t="shared" si="53"/>
        <v>200.82011743461456</v>
      </c>
      <c r="EH18" s="1">
        <f t="shared" si="53"/>
        <v>198.81191626026842</v>
      </c>
      <c r="EI18" s="1">
        <f t="shared" si="53"/>
        <v>196.82379709766573</v>
      </c>
      <c r="EJ18" s="1">
        <f t="shared" si="53"/>
        <v>194.85555912668909</v>
      </c>
      <c r="EK18" s="1">
        <f t="shared" si="53"/>
        <v>192.90700353542221</v>
      </c>
      <c r="EL18" s="1">
        <f t="shared" si="53"/>
        <v>190.97793350006799</v>
      </c>
      <c r="EM18" s="1">
        <f t="shared" si="53"/>
        <v>189.06815416506731</v>
      </c>
      <c r="EN18" s="1">
        <f t="shared" si="53"/>
        <v>187.17747262341663</v>
      </c>
      <c r="EO18" s="1">
        <f t="shared" si="53"/>
        <v>185.30569789718245</v>
      </c>
      <c r="EP18" s="1">
        <f t="shared" si="53"/>
        <v>183.45264091821062</v>
      </c>
      <c r="EQ18" s="1">
        <f t="shared" si="53"/>
        <v>181.61811450902852</v>
      </c>
      <c r="ER18" s="1">
        <f t="shared" si="53"/>
        <v>179.80193336393822</v>
      </c>
    </row>
    <row r="19" spans="2:148" x14ac:dyDescent="0.3">
      <c r="B19" t="s">
        <v>2</v>
      </c>
      <c r="C19" s="5">
        <v>29.1</v>
      </c>
      <c r="D19" s="5">
        <v>29.1</v>
      </c>
      <c r="E19" s="5">
        <v>29.1</v>
      </c>
      <c r="F19" s="5">
        <v>29.1</v>
      </c>
      <c r="G19" s="5">
        <v>29.1</v>
      </c>
      <c r="H19" s="5">
        <v>29.1</v>
      </c>
      <c r="I19" s="5">
        <v>29.1</v>
      </c>
      <c r="J19" s="5">
        <v>29.1</v>
      </c>
      <c r="K19" s="5">
        <v>29.1</v>
      </c>
      <c r="L19" s="5">
        <v>29.1</v>
      </c>
      <c r="M19" s="5">
        <v>29.1</v>
      </c>
      <c r="N19" s="5">
        <v>29.1</v>
      </c>
      <c r="O19" s="5">
        <v>29.1</v>
      </c>
      <c r="P19" s="5">
        <v>29.1</v>
      </c>
      <c r="Q19" s="5">
        <v>29.1</v>
      </c>
      <c r="R19" s="5">
        <f>29.3</f>
        <v>29.3</v>
      </c>
      <c r="S19" s="5">
        <f t="shared" ref="S19:V19" si="54">29.3</f>
        <v>29.3</v>
      </c>
      <c r="T19" s="5">
        <f t="shared" si="54"/>
        <v>29.3</v>
      </c>
      <c r="U19" s="5">
        <f t="shared" si="54"/>
        <v>29.3</v>
      </c>
      <c r="V19" s="5">
        <f t="shared" si="54"/>
        <v>29.3</v>
      </c>
      <c r="X19" s="5">
        <v>29.1</v>
      </c>
      <c r="Y19" s="5">
        <v>29.1</v>
      </c>
      <c r="Z19" s="5">
        <v>29.1</v>
      </c>
      <c r="AA19" s="5">
        <v>29.1</v>
      </c>
      <c r="AB19" s="5">
        <v>29.1</v>
      </c>
      <c r="AC19" s="5">
        <f t="shared" ref="AC19:AN19" si="55">29.3</f>
        <v>29.3</v>
      </c>
      <c r="AD19" s="5">
        <f t="shared" si="55"/>
        <v>29.3</v>
      </c>
      <c r="AE19" s="5">
        <f t="shared" si="55"/>
        <v>29.3</v>
      </c>
      <c r="AF19" s="5">
        <f t="shared" si="55"/>
        <v>29.3</v>
      </c>
      <c r="AG19" s="5">
        <f t="shared" si="55"/>
        <v>29.3</v>
      </c>
      <c r="AH19" s="5">
        <f t="shared" si="55"/>
        <v>29.3</v>
      </c>
      <c r="AI19" s="5">
        <f t="shared" si="55"/>
        <v>29.3</v>
      </c>
      <c r="AJ19" s="5">
        <f t="shared" si="55"/>
        <v>29.3</v>
      </c>
      <c r="AK19" s="5">
        <f t="shared" si="55"/>
        <v>29.3</v>
      </c>
      <c r="AL19" s="5">
        <f t="shared" si="55"/>
        <v>29.3</v>
      </c>
      <c r="AM19" s="5">
        <f t="shared" si="55"/>
        <v>29.3</v>
      </c>
      <c r="AN19" s="5">
        <f t="shared" si="55"/>
        <v>29.3</v>
      </c>
    </row>
    <row r="20" spans="2:148" x14ac:dyDescent="0.3">
      <c r="B20" t="s">
        <v>37</v>
      </c>
      <c r="C20" s="7">
        <f t="shared" ref="C20:R20" si="56">C18/C19</f>
        <v>0.60824742268041165</v>
      </c>
      <c r="D20" s="7">
        <f t="shared" si="56"/>
        <v>0.79037800687285209</v>
      </c>
      <c r="E20" s="7">
        <f t="shared" si="56"/>
        <v>1.1065292096219927</v>
      </c>
      <c r="F20" s="7">
        <f t="shared" si="56"/>
        <v>0.69072164948453707</v>
      </c>
      <c r="G20" s="7">
        <f t="shared" si="56"/>
        <v>1.1718213058419245</v>
      </c>
      <c r="H20" s="7">
        <f t="shared" si="56"/>
        <v>1.1993127147766318</v>
      </c>
      <c r="I20" s="7">
        <f t="shared" si="56"/>
        <v>1.2027491408934714</v>
      </c>
      <c r="J20" s="7">
        <f t="shared" si="56"/>
        <v>1.2439862542955329</v>
      </c>
      <c r="K20" s="7">
        <f t="shared" si="56"/>
        <v>1.1924398625429549</v>
      </c>
      <c r="L20" s="7">
        <f t="shared" si="56"/>
        <v>1.0309278350515461</v>
      </c>
      <c r="M20" s="7">
        <f t="shared" si="56"/>
        <v>1.1546391752577327</v>
      </c>
      <c r="N20" s="7">
        <f t="shared" si="56"/>
        <v>1.302405498281787</v>
      </c>
      <c r="O20" s="7">
        <f t="shared" si="56"/>
        <v>1.2646048109965631</v>
      </c>
      <c r="P20" s="7">
        <f t="shared" si="56"/>
        <v>1.5567010309278344</v>
      </c>
      <c r="Q20" s="7">
        <f t="shared" si="56"/>
        <v>1.7594501718213051</v>
      </c>
      <c r="R20" s="7">
        <f t="shared" si="56"/>
        <v>1.7235494880546069</v>
      </c>
      <c r="S20" s="7">
        <f t="shared" ref="S20" si="57">S18/S19</f>
        <v>2.0120457337883955</v>
      </c>
      <c r="T20" s="7">
        <f t="shared" ref="T20" si="58">T18/T19</f>
        <v>2.1501675426621154</v>
      </c>
      <c r="U20" s="7">
        <f t="shared" ref="U20" si="59">U18/U19</f>
        <v>2.2442248293515363</v>
      </c>
      <c r="V20" s="7">
        <f t="shared" ref="V20" si="60">V18/V19</f>
        <v>2.1553273037542664</v>
      </c>
      <c r="X20" s="7">
        <f t="shared" ref="X20:AD20" si="61">X18/X19</f>
        <v>1.2989690721649481</v>
      </c>
      <c r="Y20" s="7">
        <f t="shared" si="61"/>
        <v>1.7319587628865991</v>
      </c>
      <c r="Z20" s="7">
        <f t="shared" si="61"/>
        <v>3.1958762886597945</v>
      </c>
      <c r="AA20" s="7">
        <f t="shared" si="61"/>
        <v>4.8178694158075581</v>
      </c>
      <c r="AB20" s="7">
        <f t="shared" si="61"/>
        <v>4.6804123711340191</v>
      </c>
      <c r="AC20" s="7">
        <f t="shared" si="61"/>
        <v>6.2730375426621148</v>
      </c>
      <c r="AD20" s="7">
        <f t="shared" si="61"/>
        <v>8.56176540955631</v>
      </c>
      <c r="AE20" s="7">
        <f t="shared" ref="AE20:AN20" si="62">AE18/AE19</f>
        <v>10.243696243003415</v>
      </c>
      <c r="AF20" s="7">
        <f t="shared" si="62"/>
        <v>12.076248247535835</v>
      </c>
      <c r="AG20" s="7">
        <f t="shared" si="62"/>
        <v>13.529767800720002</v>
      </c>
      <c r="AH20" s="7">
        <f t="shared" si="62"/>
        <v>14.834313071771838</v>
      </c>
      <c r="AI20" s="7">
        <f t="shared" si="62"/>
        <v>15.71530831896635</v>
      </c>
      <c r="AJ20" s="7">
        <f t="shared" si="62"/>
        <v>16.430836964641127</v>
      </c>
      <c r="AK20" s="7">
        <f t="shared" si="62"/>
        <v>16.989369335129481</v>
      </c>
      <c r="AL20" s="7">
        <f t="shared" si="62"/>
        <v>17.373423173650476</v>
      </c>
      <c r="AM20" s="7">
        <f t="shared" si="62"/>
        <v>17.766486082496428</v>
      </c>
      <c r="AN20" s="7">
        <f t="shared" si="62"/>
        <v>18.168778082880504</v>
      </c>
    </row>
    <row r="22" spans="2:148" x14ac:dyDescent="0.3">
      <c r="B22" t="s">
        <v>45</v>
      </c>
      <c r="C22" s="9"/>
      <c r="D22" s="9"/>
      <c r="E22" s="9"/>
      <c r="F22" s="9"/>
      <c r="G22" s="9">
        <f>G3/C3-1</f>
        <v>0.65761689291101066</v>
      </c>
      <c r="H22" s="9">
        <f t="shared" ref="H22:R24" si="63">H3/D3-1</f>
        <v>0.45721583652618136</v>
      </c>
      <c r="I22" s="9">
        <f t="shared" si="63"/>
        <v>0.25917926565874727</v>
      </c>
      <c r="J22" s="9">
        <f t="shared" si="63"/>
        <v>0.23847695390781554</v>
      </c>
      <c r="K22" s="9">
        <f t="shared" si="63"/>
        <v>-4.1856232939035509E-2</v>
      </c>
      <c r="L22" s="9">
        <f t="shared" si="63"/>
        <v>-0.16213847502191059</v>
      </c>
      <c r="M22" s="9">
        <f t="shared" si="63"/>
        <v>-0.14236706689536871</v>
      </c>
      <c r="N22" s="9">
        <f t="shared" si="63"/>
        <v>-0.15776699029126218</v>
      </c>
      <c r="O22" s="9">
        <f t="shared" si="63"/>
        <v>5.9829059829059839E-2</v>
      </c>
      <c r="P22" s="9">
        <f t="shared" si="63"/>
        <v>0.30334728033472813</v>
      </c>
      <c r="Q22" s="9">
        <f t="shared" si="63"/>
        <v>0.43599999999999994</v>
      </c>
      <c r="R22" s="9">
        <f t="shared" si="63"/>
        <v>0.52257444764649352</v>
      </c>
      <c r="S22" s="9">
        <f t="shared" ref="S22:S24" si="64">S3/O3-1</f>
        <v>0.49999999999999978</v>
      </c>
      <c r="T22" s="9">
        <f t="shared" ref="T22:T24" si="65">T3/P3-1</f>
        <v>0.39999999999999991</v>
      </c>
      <c r="U22" s="9">
        <f t="shared" ref="U22:U24" si="66">U3/Q3-1</f>
        <v>0.30000000000000004</v>
      </c>
      <c r="V22" s="9">
        <f t="shared" ref="V22:V24" si="67">V3/R3-1</f>
        <v>0.30000000000000004</v>
      </c>
      <c r="X22" s="9"/>
      <c r="Y22" s="9">
        <f>Y3/X3-1</f>
        <v>0.25179425837320579</v>
      </c>
      <c r="Z22" s="9">
        <f t="shared" ref="Z22:AN22" si="68">Z3/Y3-1</f>
        <v>0.61012900143334914</v>
      </c>
      <c r="AA22" s="9">
        <f t="shared" si="68"/>
        <v>0.37744807121661728</v>
      </c>
      <c r="AB22" s="9">
        <f t="shared" si="68"/>
        <v>-0.12753123653597587</v>
      </c>
      <c r="AC22" s="9">
        <f t="shared" si="68"/>
        <v>0.32913580246913576</v>
      </c>
      <c r="AD22" s="9">
        <f t="shared" si="68"/>
        <v>0.36461081181497312</v>
      </c>
      <c r="AE22" s="9">
        <f t="shared" si="68"/>
        <v>0.19999999999999996</v>
      </c>
      <c r="AF22" s="9">
        <f t="shared" si="68"/>
        <v>0.14999999999999991</v>
      </c>
      <c r="AG22" s="9">
        <f t="shared" si="68"/>
        <v>0.10000000000000009</v>
      </c>
      <c r="AH22" s="9">
        <f t="shared" si="68"/>
        <v>8.0000000000000071E-2</v>
      </c>
      <c r="AI22" s="9">
        <f t="shared" si="68"/>
        <v>5.0000000000000044E-2</v>
      </c>
      <c r="AJ22" s="9">
        <f t="shared" si="68"/>
        <v>4.0000000000000036E-2</v>
      </c>
      <c r="AK22" s="9">
        <f t="shared" si="68"/>
        <v>3.0000000000000027E-2</v>
      </c>
      <c r="AL22" s="9">
        <f t="shared" si="68"/>
        <v>2.0000000000000018E-2</v>
      </c>
      <c r="AM22" s="9">
        <f t="shared" si="68"/>
        <v>2.0000000000000018E-2</v>
      </c>
      <c r="AN22" s="9">
        <f t="shared" si="68"/>
        <v>2.0000000000000018E-2</v>
      </c>
    </row>
    <row r="23" spans="2:148" x14ac:dyDescent="0.3">
      <c r="B23" t="s">
        <v>46</v>
      </c>
      <c r="C23" s="9"/>
      <c r="D23" s="9"/>
      <c r="E23" s="9"/>
      <c r="F23" s="9"/>
      <c r="G23" s="9">
        <f t="shared" ref="G23:G24" si="69">G4/C4-1</f>
        <v>0.34078212290502807</v>
      </c>
      <c r="H23" s="9">
        <f t="shared" si="63"/>
        <v>0.41025641025641035</v>
      </c>
      <c r="I23" s="9">
        <f t="shared" si="63"/>
        <v>0.35148514851485158</v>
      </c>
      <c r="J23" s="9">
        <f t="shared" si="63"/>
        <v>0.29302325581395383</v>
      </c>
      <c r="K23" s="9">
        <f t="shared" si="63"/>
        <v>0.12083333333333335</v>
      </c>
      <c r="L23" s="9">
        <f t="shared" si="63"/>
        <v>-1.4545454545454528E-2</v>
      </c>
      <c r="M23" s="9">
        <f t="shared" si="63"/>
        <v>5.4945054945054972E-2</v>
      </c>
      <c r="N23" s="9">
        <f t="shared" si="63"/>
        <v>8.2733812949640662E-2</v>
      </c>
      <c r="O23" s="9">
        <f t="shared" si="63"/>
        <v>0.12267657992565062</v>
      </c>
      <c r="P23" s="9">
        <f t="shared" si="63"/>
        <v>0.19188191881918804</v>
      </c>
      <c r="Q23" s="9">
        <f t="shared" si="63"/>
        <v>0.22569444444444442</v>
      </c>
      <c r="R23" s="9">
        <f t="shared" si="63"/>
        <v>0.20265780730896976</v>
      </c>
      <c r="S23" s="9">
        <f t="shared" si="64"/>
        <v>0.19999999999999996</v>
      </c>
      <c r="T23" s="9">
        <f t="shared" si="65"/>
        <v>0.17999999999999994</v>
      </c>
      <c r="U23" s="9">
        <f t="shared" si="66"/>
        <v>0.14999999999999991</v>
      </c>
      <c r="V23" s="9">
        <f t="shared" si="67"/>
        <v>0.14999999999999991</v>
      </c>
      <c r="X23" s="9"/>
      <c r="Y23" s="9">
        <f t="shared" ref="Y23:Y24" si="70">Y4/X4-1</f>
        <v>4.1594454072790166E-2</v>
      </c>
      <c r="Z23" s="9">
        <f t="shared" ref="Z23:AN23" si="71">Z4/Y4-1</f>
        <v>0.31613976705490843</v>
      </c>
      <c r="AA23" s="9">
        <f t="shared" si="71"/>
        <v>0.34766118836915294</v>
      </c>
      <c r="AB23" s="9">
        <f t="shared" si="71"/>
        <v>5.9099437148217637E-2</v>
      </c>
      <c r="AC23" s="9">
        <f t="shared" si="71"/>
        <v>0.18689105403011519</v>
      </c>
      <c r="AD23" s="9">
        <f t="shared" si="71"/>
        <v>0.16849999999999987</v>
      </c>
      <c r="AE23" s="9">
        <f t="shared" si="71"/>
        <v>0.12000000000000011</v>
      </c>
      <c r="AF23" s="9">
        <f t="shared" si="71"/>
        <v>9.000000000000008E-2</v>
      </c>
      <c r="AG23" s="9">
        <f t="shared" si="71"/>
        <v>7.0000000000000062E-2</v>
      </c>
      <c r="AH23" s="9">
        <f t="shared" si="71"/>
        <v>5.0000000000000044E-2</v>
      </c>
      <c r="AI23" s="9">
        <f t="shared" si="71"/>
        <v>4.0000000000000036E-2</v>
      </c>
      <c r="AJ23" s="9">
        <f t="shared" si="71"/>
        <v>3.0000000000000027E-2</v>
      </c>
      <c r="AK23" s="9">
        <f t="shared" si="71"/>
        <v>3.0000000000000027E-2</v>
      </c>
      <c r="AL23" s="9">
        <f t="shared" si="71"/>
        <v>3.0000000000000027E-2</v>
      </c>
      <c r="AM23" s="9">
        <f t="shared" si="71"/>
        <v>3.0000000000000027E-2</v>
      </c>
      <c r="AN23" s="9">
        <f t="shared" si="71"/>
        <v>3.0000000000000027E-2</v>
      </c>
    </row>
    <row r="24" spans="2:148" x14ac:dyDescent="0.3">
      <c r="B24" t="s">
        <v>47</v>
      </c>
      <c r="C24" s="9"/>
      <c r="D24" s="9"/>
      <c r="E24" s="9"/>
      <c r="F24" s="9"/>
      <c r="G24" s="9">
        <f t="shared" si="69"/>
        <v>0.59026128266033284</v>
      </c>
      <c r="H24" s="9">
        <f t="shared" si="63"/>
        <v>0.4478527607361964</v>
      </c>
      <c r="I24" s="9">
        <f t="shared" si="63"/>
        <v>0.27570921985815611</v>
      </c>
      <c r="J24" s="9">
        <f t="shared" si="63"/>
        <v>0.24814509480626556</v>
      </c>
      <c r="K24" s="9">
        <f t="shared" si="63"/>
        <v>-1.2696041822255588E-2</v>
      </c>
      <c r="L24" s="9">
        <f t="shared" si="63"/>
        <v>-0.13347457627118653</v>
      </c>
      <c r="M24" s="9">
        <f t="shared" si="63"/>
        <v>-0.10493398193189707</v>
      </c>
      <c r="N24" s="9">
        <f t="shared" si="63"/>
        <v>-0.11360634081902254</v>
      </c>
      <c r="O24" s="9">
        <f t="shared" si="63"/>
        <v>7.2617246596066609E-2</v>
      </c>
      <c r="P24" s="9">
        <f t="shared" si="63"/>
        <v>0.27872860635696806</v>
      </c>
      <c r="Q24" s="9">
        <f t="shared" si="63"/>
        <v>0.38897515527950288</v>
      </c>
      <c r="R24" s="9">
        <f t="shared" si="63"/>
        <v>0.45081967213114726</v>
      </c>
      <c r="S24" s="9">
        <f t="shared" si="64"/>
        <v>0.43610719322990144</v>
      </c>
      <c r="T24" s="9">
        <f t="shared" si="65"/>
        <v>0.35471000637348626</v>
      </c>
      <c r="U24" s="9">
        <f t="shared" si="66"/>
        <v>0.27040245947456709</v>
      </c>
      <c r="V24" s="9">
        <f t="shared" si="67"/>
        <v>0.27211093990755009</v>
      </c>
      <c r="X24" s="9"/>
      <c r="Y24" s="9">
        <f t="shared" si="70"/>
        <v>0.19786571809693232</v>
      </c>
      <c r="Z24" s="9">
        <f t="shared" ref="Z24:AN24" si="72">Z5/Y5-1</f>
        <v>0.54454342984409787</v>
      </c>
      <c r="AA24" s="9">
        <f t="shared" si="72"/>
        <v>0.37178562845469831</v>
      </c>
      <c r="AB24" s="9">
        <f t="shared" si="72"/>
        <v>-9.2676944639103032E-2</v>
      </c>
      <c r="AC24" s="9">
        <f t="shared" si="72"/>
        <v>0.29812705155435415</v>
      </c>
      <c r="AD24" s="9">
        <f t="shared" si="72"/>
        <v>0.32552283206901667</v>
      </c>
      <c r="AE24" s="9">
        <f t="shared" si="72"/>
        <v>0.18594363007757408</v>
      </c>
      <c r="AF24" s="9">
        <f t="shared" si="72"/>
        <v>0.1400439190907703</v>
      </c>
      <c r="AG24" s="9">
        <f t="shared" si="72"/>
        <v>9.524047801609492E-2</v>
      </c>
      <c r="AH24" s="9">
        <f t="shared" si="72"/>
        <v>7.535016407355255E-2</v>
      </c>
      <c r="AI24" s="9">
        <f t="shared" si="72"/>
        <v>4.848659289910584E-2</v>
      </c>
      <c r="AJ24" s="9">
        <f t="shared" si="72"/>
        <v>3.8498842621746965E-2</v>
      </c>
      <c r="AK24" s="9">
        <f t="shared" si="72"/>
        <v>2.9999999999999805E-2</v>
      </c>
      <c r="AL24" s="9">
        <f t="shared" si="72"/>
        <v>2.1488872241491652E-2</v>
      </c>
      <c r="AM24" s="9">
        <f t="shared" si="72"/>
        <v>2.1501277645219252E-2</v>
      </c>
      <c r="AN24" s="9">
        <f t="shared" si="72"/>
        <v>2.1513768027917157E-2</v>
      </c>
      <c r="AQ24" t="s">
        <v>55</v>
      </c>
      <c r="AR24" s="9">
        <v>-0.01</v>
      </c>
    </row>
    <row r="25" spans="2:148" x14ac:dyDescent="0.3">
      <c r="B25" t="s">
        <v>48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X25" s="9">
        <f>(X3-X6)/X3</f>
        <v>0.59748803827751196</v>
      </c>
      <c r="Y25" s="9">
        <f>(Y3-Y6)/Y3</f>
        <v>0.62446249402771148</v>
      </c>
      <c r="Z25" s="9">
        <f t="shared" ref="Z25:AB25" si="73">(Z3-Z6)/Z3</f>
        <v>0.60979228486646886</v>
      </c>
      <c r="AA25" s="9">
        <f t="shared" si="73"/>
        <v>0.58767772511848337</v>
      </c>
      <c r="AB25" s="9">
        <f t="shared" si="73"/>
        <v>0.59506172839506177</v>
      </c>
      <c r="AC25" s="10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Q25" t="s">
        <v>56</v>
      </c>
      <c r="AR25" s="9">
        <v>0.09</v>
      </c>
    </row>
    <row r="26" spans="2:148" x14ac:dyDescent="0.3">
      <c r="B26" t="s">
        <v>49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X26" s="9">
        <f>(X4-X7)/X4</f>
        <v>0.37954939341421151</v>
      </c>
      <c r="Y26" s="9">
        <f>(Y4-Y7)/Y4</f>
        <v>0.3693843594009984</v>
      </c>
      <c r="Z26" s="9">
        <f t="shared" ref="Z26:AB26" si="74">(Z4-Z7)/Z4</f>
        <v>0.37800252844500626</v>
      </c>
      <c r="AA26" s="9">
        <f t="shared" si="74"/>
        <v>0.41463414634146339</v>
      </c>
      <c r="AB26" s="9">
        <f t="shared" si="74"/>
        <v>0.46147032772364932</v>
      </c>
      <c r="AC26" s="10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Q26" t="s">
        <v>57</v>
      </c>
      <c r="AR26" s="5">
        <f>NPV(AR25,AD18:ER18)</f>
        <v>4809.9405324857771</v>
      </c>
    </row>
    <row r="27" spans="2:148" x14ac:dyDescent="0.3">
      <c r="B27" t="s">
        <v>44</v>
      </c>
      <c r="C27" s="9">
        <f t="shared" ref="C27:F27" si="75">C9/C5</f>
        <v>0.56294536817102125</v>
      </c>
      <c r="D27" s="9">
        <f t="shared" si="75"/>
        <v>0.56646216768916158</v>
      </c>
      <c r="E27" s="9">
        <f t="shared" si="75"/>
        <v>0.5735815602836879</v>
      </c>
      <c r="F27" s="9">
        <f t="shared" si="75"/>
        <v>0.55976916735366877</v>
      </c>
      <c r="G27" s="9">
        <f>G9/G5</f>
        <v>0.55638536221060486</v>
      </c>
      <c r="H27" s="9">
        <f t="shared" ref="H27:R27" si="76">H9/H5</f>
        <v>0.55720338983050843</v>
      </c>
      <c r="I27" s="9">
        <f t="shared" si="76"/>
        <v>0.56080611535788749</v>
      </c>
      <c r="J27" s="9">
        <f t="shared" si="76"/>
        <v>0.54755614266842789</v>
      </c>
      <c r="K27" s="9">
        <f t="shared" si="76"/>
        <v>0.58472012102874427</v>
      </c>
      <c r="L27" s="9">
        <f t="shared" si="76"/>
        <v>0.56805215973920131</v>
      </c>
      <c r="M27" s="9">
        <f t="shared" si="76"/>
        <v>0.56055900621118016</v>
      </c>
      <c r="N27" s="9">
        <f t="shared" si="76"/>
        <v>0.55067064083457529</v>
      </c>
      <c r="O27" s="9">
        <f t="shared" si="76"/>
        <v>0.58744710860366711</v>
      </c>
      <c r="P27" s="9">
        <f t="shared" si="76"/>
        <v>0.59018483110261311</v>
      </c>
      <c r="Q27" s="9">
        <f t="shared" si="76"/>
        <v>0.56623812185578537</v>
      </c>
      <c r="R27" s="9">
        <f t="shared" si="76"/>
        <v>0.56445814072932721</v>
      </c>
      <c r="S27" s="9">
        <f t="shared" ref="S27:V27" si="77">S9/S5</f>
        <v>0.6</v>
      </c>
      <c r="T27" s="9">
        <f t="shared" si="77"/>
        <v>0.6</v>
      </c>
      <c r="U27" s="9">
        <f t="shared" si="77"/>
        <v>0.57999999999999996</v>
      </c>
      <c r="V27" s="9">
        <f t="shared" si="77"/>
        <v>0.56000000000000005</v>
      </c>
      <c r="X27" s="9">
        <f t="shared" ref="X27:Y27" si="78">X9/X5</f>
        <v>0.54157403290351269</v>
      </c>
      <c r="Y27" s="9">
        <f t="shared" si="78"/>
        <v>0.56755753526354868</v>
      </c>
      <c r="Z27" s="9">
        <f t="shared" ref="Z27:AN27" si="79">Z9/Z5</f>
        <v>0.56572939197308347</v>
      </c>
      <c r="AA27" s="9">
        <f t="shared" si="79"/>
        <v>0.55536089698668534</v>
      </c>
      <c r="AB27" s="9">
        <f t="shared" si="79"/>
        <v>0.56593937053485222</v>
      </c>
      <c r="AC27" s="9">
        <f t="shared" si="79"/>
        <v>0.57578461996132679</v>
      </c>
      <c r="AD27" s="9">
        <f t="shared" si="79"/>
        <v>0.58378194892212187</v>
      </c>
      <c r="AE27" s="9">
        <f t="shared" si="79"/>
        <v>0.58000000000000007</v>
      </c>
      <c r="AF27" s="9">
        <f t="shared" si="79"/>
        <v>0.58000000000000007</v>
      </c>
      <c r="AG27" s="9">
        <f t="shared" si="79"/>
        <v>0.57999999999999996</v>
      </c>
      <c r="AH27" s="9">
        <f t="shared" si="79"/>
        <v>0.58000000000000007</v>
      </c>
      <c r="AI27" s="9">
        <f t="shared" si="79"/>
        <v>0.58000000000000007</v>
      </c>
      <c r="AJ27" s="9">
        <f t="shared" si="79"/>
        <v>0.57999999999999996</v>
      </c>
      <c r="AK27" s="9">
        <f t="shared" si="79"/>
        <v>0.57999999999999996</v>
      </c>
      <c r="AL27" s="9">
        <f t="shared" si="79"/>
        <v>0.57999999999999996</v>
      </c>
      <c r="AM27" s="9">
        <f t="shared" si="79"/>
        <v>0.58000000000000007</v>
      </c>
      <c r="AN27" s="9">
        <f t="shared" si="79"/>
        <v>0.58000000000000007</v>
      </c>
      <c r="AQ27" t="s">
        <v>58</v>
      </c>
      <c r="AR27" s="5">
        <f>Main!D8</f>
        <v>639.6</v>
      </c>
    </row>
    <row r="28" spans="2:148" x14ac:dyDescent="0.3">
      <c r="B28" t="s">
        <v>50</v>
      </c>
      <c r="C28" s="9"/>
      <c r="D28" s="9"/>
      <c r="E28" s="9"/>
      <c r="F28" s="9"/>
      <c r="G28" s="9">
        <f>G10/C10-1</f>
        <v>0.31724137931034502</v>
      </c>
      <c r="H28" s="9">
        <f t="shared" ref="H28:R28" si="80">H10/D10-1</f>
        <v>0.44444444444444442</v>
      </c>
      <c r="I28" s="9">
        <f t="shared" si="80"/>
        <v>0.44654088050314455</v>
      </c>
      <c r="J28" s="9">
        <f t="shared" si="80"/>
        <v>0.30198019801980158</v>
      </c>
      <c r="K28" s="9">
        <f t="shared" si="80"/>
        <v>0.2041884816753925</v>
      </c>
      <c r="L28" s="9">
        <f t="shared" si="80"/>
        <v>1.3574660633484115E-2</v>
      </c>
      <c r="M28" s="9">
        <f t="shared" si="80"/>
        <v>-6.956521739130439E-2</v>
      </c>
      <c r="N28" s="9">
        <f t="shared" si="80"/>
        <v>-0.19391634980988603</v>
      </c>
      <c r="O28" s="9">
        <f t="shared" si="80"/>
        <v>7.8260869565217384E-2</v>
      </c>
      <c r="P28" s="9">
        <f t="shared" si="80"/>
        <v>0.13839285714285721</v>
      </c>
      <c r="Q28" s="9">
        <f t="shared" si="80"/>
        <v>0.35981308411214963</v>
      </c>
      <c r="R28" s="9">
        <f t="shared" si="80"/>
        <v>0.45754716981132093</v>
      </c>
      <c r="S28" s="9">
        <f t="shared" ref="S28" si="81">S10/O10-1</f>
        <v>0.35000000000000009</v>
      </c>
      <c r="T28" s="9">
        <f t="shared" ref="T28" si="82">T10/P10-1</f>
        <v>0.35000000000000009</v>
      </c>
      <c r="U28" s="9">
        <f t="shared" ref="U28" si="83">U10/Q10-1</f>
        <v>0.25</v>
      </c>
      <c r="V28" s="9">
        <f t="shared" ref="V28" si="84">V10/R10-1</f>
        <v>0.25</v>
      </c>
      <c r="X28" s="9"/>
      <c r="Y28" s="9">
        <f>Y10/X10-1</f>
        <v>0.1910112359550562</v>
      </c>
      <c r="Z28" s="9">
        <f t="shared" ref="Z28:AN28" si="85">Z10/Y10-1</f>
        <v>0.2433962264150944</v>
      </c>
      <c r="AA28" s="9">
        <f t="shared" si="85"/>
        <v>0.3732928679817904</v>
      </c>
      <c r="AB28" s="9">
        <f t="shared" si="85"/>
        <v>-2.7624309392265234E-2</v>
      </c>
      <c r="AC28" s="9">
        <f t="shared" si="85"/>
        <v>0.25340909090909114</v>
      </c>
      <c r="AD28" s="9">
        <f t="shared" si="85"/>
        <v>0.29560290117860366</v>
      </c>
      <c r="AE28" s="9">
        <f t="shared" si="85"/>
        <v>8.0000000000000071E-2</v>
      </c>
      <c r="AF28" s="9">
        <f t="shared" si="85"/>
        <v>4.0000000000000036E-2</v>
      </c>
      <c r="AG28" s="9">
        <f t="shared" si="85"/>
        <v>3.0000000000000027E-2</v>
      </c>
      <c r="AH28" s="9">
        <f t="shared" si="85"/>
        <v>2.0000000000000018E-2</v>
      </c>
      <c r="AI28" s="9">
        <f t="shared" si="85"/>
        <v>2.0000000000000018E-2</v>
      </c>
      <c r="AJ28" s="9">
        <f t="shared" si="85"/>
        <v>2.0000000000000018E-2</v>
      </c>
      <c r="AK28" s="9">
        <f t="shared" si="85"/>
        <v>2.0000000000000018E-2</v>
      </c>
      <c r="AL28" s="9">
        <f t="shared" si="85"/>
        <v>2.0000000000000018E-2</v>
      </c>
      <c r="AM28" s="9">
        <f t="shared" si="85"/>
        <v>2.0000000000000018E-2</v>
      </c>
      <c r="AN28" s="9">
        <f t="shared" si="85"/>
        <v>2.0000000000000018E-2</v>
      </c>
      <c r="AQ28" t="s">
        <v>59</v>
      </c>
      <c r="AR28" s="5">
        <f>AR26+AR27</f>
        <v>5449.5405324857775</v>
      </c>
    </row>
    <row r="29" spans="2:148" x14ac:dyDescent="0.3">
      <c r="B29" t="s">
        <v>51</v>
      </c>
      <c r="C29" s="9">
        <f t="shared" ref="C29:F29" si="86">C11/C5</f>
        <v>0.11282660332541569</v>
      </c>
      <c r="D29" s="9">
        <f t="shared" si="86"/>
        <v>9.6114519427402872E-2</v>
      </c>
      <c r="E29" s="9">
        <f t="shared" si="86"/>
        <v>8.0673758865248232E-2</v>
      </c>
      <c r="F29" s="9">
        <f t="shared" si="86"/>
        <v>9.8103874690849108E-2</v>
      </c>
      <c r="G29" s="9">
        <f>G11/G5</f>
        <v>9.1112770724421199E-2</v>
      </c>
      <c r="H29" s="9">
        <f t="shared" ref="H29:R29" si="87">H11/H5</f>
        <v>8.6864406779661021E-2</v>
      </c>
      <c r="I29" s="9">
        <f t="shared" si="87"/>
        <v>9.3815149409312015E-2</v>
      </c>
      <c r="J29" s="9">
        <f t="shared" si="87"/>
        <v>9.709379128137384E-2</v>
      </c>
      <c r="K29" s="9">
        <f t="shared" si="87"/>
        <v>0.10211800302571862</v>
      </c>
      <c r="L29" s="9">
        <f t="shared" si="87"/>
        <v>0.10513447432762837</v>
      </c>
      <c r="M29" s="9">
        <f t="shared" si="87"/>
        <v>9.6273291925465826E-2</v>
      </c>
      <c r="N29" s="9">
        <f t="shared" si="87"/>
        <v>0.10208643815201193</v>
      </c>
      <c r="O29" s="9">
        <f t="shared" si="87"/>
        <v>0.11636107193229903</v>
      </c>
      <c r="P29" s="9">
        <f t="shared" si="87"/>
        <v>0.10197578075207139</v>
      </c>
      <c r="Q29" s="9">
        <f t="shared" si="87"/>
        <v>9.2789267747344903E-2</v>
      </c>
      <c r="R29" s="9">
        <f t="shared" si="87"/>
        <v>8.2177709296353374E-2</v>
      </c>
      <c r="S29" s="9">
        <f t="shared" ref="S29:V29" si="88">S11/S5</f>
        <v>0.09</v>
      </c>
      <c r="T29" s="9">
        <f t="shared" si="88"/>
        <v>0.09</v>
      </c>
      <c r="U29" s="9">
        <f t="shared" si="88"/>
        <v>0.09</v>
      </c>
      <c r="V29" s="9">
        <f t="shared" si="88"/>
        <v>8.0000000000000016E-2</v>
      </c>
      <c r="X29" s="9">
        <f t="shared" ref="X29:Y29" si="89">X11/X5</f>
        <v>0.12538906180524678</v>
      </c>
      <c r="Y29" s="9">
        <f t="shared" si="89"/>
        <v>0.10876020786933926</v>
      </c>
      <c r="Z29" s="9">
        <f t="shared" ref="Z29:AN29" si="90">Z11/Z5</f>
        <v>9.5890410958904104E-2</v>
      </c>
      <c r="AA29" s="9">
        <f t="shared" si="90"/>
        <v>9.2326559215136661E-2</v>
      </c>
      <c r="AB29" s="9">
        <f t="shared" si="90"/>
        <v>0.10137092102722534</v>
      </c>
      <c r="AC29" s="9">
        <f t="shared" si="90"/>
        <v>9.6831771530566713E-2</v>
      </c>
      <c r="AD29" s="9">
        <f t="shared" si="90"/>
        <v>8.7220666802072397E-2</v>
      </c>
      <c r="AE29" s="9">
        <f t="shared" si="90"/>
        <v>0.09</v>
      </c>
      <c r="AF29" s="9">
        <f t="shared" si="90"/>
        <v>0.09</v>
      </c>
      <c r="AG29" s="9">
        <f t="shared" si="90"/>
        <v>0.09</v>
      </c>
      <c r="AH29" s="9">
        <f t="shared" si="90"/>
        <v>0.09</v>
      </c>
      <c r="AI29" s="9">
        <f t="shared" si="90"/>
        <v>0.09</v>
      </c>
      <c r="AJ29" s="9">
        <f t="shared" si="90"/>
        <v>0.09</v>
      </c>
      <c r="AK29" s="9">
        <f t="shared" si="90"/>
        <v>9.0000000000000011E-2</v>
      </c>
      <c r="AL29" s="9">
        <f t="shared" si="90"/>
        <v>0.09</v>
      </c>
      <c r="AM29" s="9">
        <f t="shared" si="90"/>
        <v>0.09</v>
      </c>
      <c r="AN29" s="9">
        <f t="shared" si="90"/>
        <v>0.09</v>
      </c>
      <c r="AQ29" t="s">
        <v>60</v>
      </c>
      <c r="AR29" s="4">
        <f>AR28/AN19</f>
        <v>185.99114445343949</v>
      </c>
    </row>
    <row r="30" spans="2:148" x14ac:dyDescent="0.3">
      <c r="B30" t="s">
        <v>52</v>
      </c>
      <c r="C30" s="9"/>
      <c r="D30" s="9"/>
      <c r="E30" s="9"/>
      <c r="F30" s="9"/>
      <c r="G30" s="9">
        <f>G12/C12-1</f>
        <v>0.74285714285714266</v>
      </c>
      <c r="H30" s="9">
        <f t="shared" ref="H30:R30" si="91">H12/D12-1</f>
        <v>1.2058823529411766</v>
      </c>
      <c r="I30" s="9">
        <f t="shared" si="91"/>
        <v>0.29268292682926833</v>
      </c>
      <c r="J30" s="9">
        <f t="shared" si="91"/>
        <v>-0.20634920634920673</v>
      </c>
      <c r="K30" s="9">
        <f t="shared" si="91"/>
        <v>-0.18032786885245899</v>
      </c>
      <c r="L30" s="9">
        <f t="shared" si="91"/>
        <v>-0.25333333333333341</v>
      </c>
      <c r="M30" s="9">
        <f t="shared" si="91"/>
        <v>-0.18867924528301883</v>
      </c>
      <c r="N30" s="9">
        <f t="shared" si="91"/>
        <v>0.10000000000000009</v>
      </c>
      <c r="O30" s="9">
        <f t="shared" si="91"/>
        <v>-4.0000000000000036E-2</v>
      </c>
      <c r="P30" s="9">
        <f t="shared" si="91"/>
        <v>-3.5714285714285587E-2</v>
      </c>
      <c r="Q30" s="9">
        <f t="shared" si="91"/>
        <v>0.48837209302325602</v>
      </c>
      <c r="R30" s="9">
        <f t="shared" si="91"/>
        <v>0.38181818181818228</v>
      </c>
      <c r="S30" s="9">
        <f t="shared" ref="S30" si="92">S12/O12-1</f>
        <v>0.5</v>
      </c>
      <c r="T30" s="9">
        <f t="shared" ref="T30" si="93">T12/P12-1</f>
        <v>0.50000000000000022</v>
      </c>
      <c r="U30" s="9">
        <f t="shared" ref="U30" si="94">U12/Q12-1</f>
        <v>0.39999999999999969</v>
      </c>
      <c r="V30" s="9">
        <f t="shared" ref="V30" si="95">V12/R12-1</f>
        <v>0.29999999999999982</v>
      </c>
      <c r="X30" s="9"/>
      <c r="Y30" s="9">
        <f>Y12/X12-1</f>
        <v>0.23762376237623761</v>
      </c>
      <c r="Z30" s="9">
        <f t="shared" ref="Z30:AN30" si="96">Z12/Y12-1</f>
        <v>0.38400000000000012</v>
      </c>
      <c r="AA30" s="9">
        <f t="shared" si="96"/>
        <v>0.38150289017341033</v>
      </c>
      <c r="AB30" s="9">
        <f t="shared" si="96"/>
        <v>-0.14644351464435146</v>
      </c>
      <c r="AC30" s="9">
        <f t="shared" si="96"/>
        <v>0.1862745098039218</v>
      </c>
      <c r="AD30" s="9">
        <f t="shared" si="96"/>
        <v>0.41074380165289237</v>
      </c>
      <c r="AE30" s="9">
        <f t="shared" si="96"/>
        <v>0.19999999999999996</v>
      </c>
      <c r="AF30" s="9">
        <f t="shared" si="96"/>
        <v>0.10000000000000009</v>
      </c>
      <c r="AG30" s="9">
        <f t="shared" si="96"/>
        <v>5.0000000000000044E-2</v>
      </c>
      <c r="AH30" s="9">
        <f t="shared" si="96"/>
        <v>3.0000000000000027E-2</v>
      </c>
      <c r="AI30" s="9">
        <f t="shared" si="96"/>
        <v>2.0000000000000018E-2</v>
      </c>
      <c r="AJ30" s="9">
        <f t="shared" si="96"/>
        <v>2.0000000000000018E-2</v>
      </c>
      <c r="AK30" s="9">
        <f t="shared" si="96"/>
        <v>2.0000000000000018E-2</v>
      </c>
      <c r="AL30" s="9">
        <f t="shared" si="96"/>
        <v>2.0000000000000018E-2</v>
      </c>
      <c r="AM30" s="9">
        <f t="shared" si="96"/>
        <v>2.0000000000000018E-2</v>
      </c>
      <c r="AN30" s="9">
        <f t="shared" si="96"/>
        <v>2.0000000000000018E-2</v>
      </c>
      <c r="AQ30" t="s">
        <v>61</v>
      </c>
      <c r="AR30" s="4">
        <f>Main!D3</f>
        <v>171.45</v>
      </c>
    </row>
    <row r="31" spans="2:148" x14ac:dyDescent="0.3">
      <c r="B31" t="s">
        <v>53</v>
      </c>
      <c r="C31" s="9">
        <f t="shared" ref="C31:F31" si="97">C14/C5</f>
        <v>0.23634204275534426</v>
      </c>
      <c r="D31" s="9">
        <f t="shared" si="97"/>
        <v>0.27914110429447853</v>
      </c>
      <c r="E31" s="9">
        <f t="shared" si="97"/>
        <v>0.31560283687943252</v>
      </c>
      <c r="F31" s="9">
        <f t="shared" si="97"/>
        <v>0.2431986809563069</v>
      </c>
      <c r="G31" s="9">
        <f>G14/G5</f>
        <v>0.27707244212098581</v>
      </c>
      <c r="H31" s="9">
        <f t="shared" ref="H31:R31" si="98">H14/H5</f>
        <v>0.26129943502824848</v>
      </c>
      <c r="I31" s="9">
        <f t="shared" si="98"/>
        <v>0.27032661570535105</v>
      </c>
      <c r="J31" s="9">
        <f t="shared" si="98"/>
        <v>0.2437252311756935</v>
      </c>
      <c r="K31" s="9">
        <f t="shared" si="98"/>
        <v>0.27080181543116477</v>
      </c>
      <c r="L31" s="9">
        <f t="shared" si="98"/>
        <v>0.23471882640586791</v>
      </c>
      <c r="M31" s="9">
        <f t="shared" si="98"/>
        <v>0.26475155279503121</v>
      </c>
      <c r="N31" s="9">
        <f t="shared" si="98"/>
        <v>0.24962742175856933</v>
      </c>
      <c r="O31" s="9">
        <f t="shared" si="98"/>
        <v>0.26234132581100134</v>
      </c>
      <c r="P31" s="9">
        <f t="shared" si="98"/>
        <v>0.2912683237731038</v>
      </c>
      <c r="Q31" s="9">
        <f t="shared" si="98"/>
        <v>0.27501397428731128</v>
      </c>
      <c r="R31" s="9">
        <f t="shared" si="98"/>
        <v>0.28454031843862349</v>
      </c>
      <c r="S31" s="9">
        <f t="shared" ref="S31:V31" si="99">S14/S5</f>
        <v>0.31023571007660572</v>
      </c>
      <c r="T31" s="9">
        <f t="shared" si="99"/>
        <v>0.30993319344731218</v>
      </c>
      <c r="U31" s="9">
        <f t="shared" si="99"/>
        <v>0.29052799472005281</v>
      </c>
      <c r="V31" s="9">
        <f t="shared" si="99"/>
        <v>0.28416262919896645</v>
      </c>
      <c r="X31" s="9">
        <f t="shared" ref="X31:Y31" si="100">X14/X5</f>
        <v>0.1734104046242774</v>
      </c>
      <c r="Y31" s="9">
        <f t="shared" si="100"/>
        <v>0.21566443949517458</v>
      </c>
      <c r="Z31" s="9">
        <f t="shared" ref="Z31:AN31" si="101">Z14/Z5</f>
        <v>0.26988704638308103</v>
      </c>
      <c r="AA31" s="9">
        <f t="shared" si="101"/>
        <v>0.26261387526278901</v>
      </c>
      <c r="AB31" s="9">
        <f t="shared" si="101"/>
        <v>0.25526163351998449</v>
      </c>
      <c r="AC31" s="9">
        <f t="shared" si="101"/>
        <v>0.27889335118250774</v>
      </c>
      <c r="AD31" s="9">
        <f t="shared" si="101"/>
        <v>0.29789080165045345</v>
      </c>
      <c r="AE31" s="9">
        <f t="shared" si="101"/>
        <v>0.30520088782873467</v>
      </c>
      <c r="AF31" s="9">
        <f t="shared" si="101"/>
        <v>0.31937769056216225</v>
      </c>
      <c r="AG31" s="9">
        <f t="shared" si="101"/>
        <v>0.32885819256124504</v>
      </c>
      <c r="AH31" s="9">
        <f t="shared" si="101"/>
        <v>0.33681899425453771</v>
      </c>
      <c r="AI31" s="9">
        <f t="shared" si="101"/>
        <v>0.34098080708085249</v>
      </c>
      <c r="AJ31" s="9">
        <f t="shared" si="101"/>
        <v>0.34363529496691658</v>
      </c>
      <c r="AK31" s="9">
        <f t="shared" si="101"/>
        <v>0.34505631152063576</v>
      </c>
      <c r="AL31" s="9">
        <f t="shared" si="101"/>
        <v>0.34526757435493655</v>
      </c>
      <c r="AM31" s="9">
        <f t="shared" si="101"/>
        <v>0.34548028437294076</v>
      </c>
      <c r="AN31" s="9">
        <f t="shared" si="101"/>
        <v>0.34569444626851886</v>
      </c>
      <c r="AQ31" s="1" t="s">
        <v>62</v>
      </c>
      <c r="AR31" s="11">
        <f>AR29/AR30-1</f>
        <v>8.4812741052432195E-2</v>
      </c>
    </row>
    <row r="32" spans="2:148" x14ac:dyDescent="0.3">
      <c r="B32" t="s">
        <v>35</v>
      </c>
      <c r="C32" s="9">
        <f t="shared" ref="C32:F32" si="102">C17/C16</f>
        <v>0.12807881773399027</v>
      </c>
      <c r="D32" s="9">
        <f t="shared" si="102"/>
        <v>0.11877394636015327</v>
      </c>
      <c r="E32" s="9">
        <f t="shared" si="102"/>
        <v>0.11780821917808224</v>
      </c>
      <c r="F32" s="9">
        <f t="shared" si="102"/>
        <v>0.23574144486691986</v>
      </c>
      <c r="G32" s="9">
        <f>G17/G16</f>
        <v>0.10966057441253263</v>
      </c>
      <c r="H32" s="9">
        <f t="shared" ref="H32:R32" si="103">H17/H16</f>
        <v>0.14039408866995079</v>
      </c>
      <c r="I32" s="9">
        <f t="shared" si="103"/>
        <v>0.13366336633663362</v>
      </c>
      <c r="J32" s="9">
        <f t="shared" si="103"/>
        <v>7.4168797953964138E-2</v>
      </c>
      <c r="K32" s="9">
        <f t="shared" si="103"/>
        <v>0.14320987654320994</v>
      </c>
      <c r="L32" s="9">
        <f t="shared" si="103"/>
        <v>0.12790697674418608</v>
      </c>
      <c r="M32" s="9">
        <f t="shared" si="103"/>
        <v>0.13624678663239068</v>
      </c>
      <c r="N32" s="9">
        <f t="shared" si="103"/>
        <v>7.1078431372548961E-2</v>
      </c>
      <c r="O32" s="9">
        <f t="shared" si="103"/>
        <v>0.1481481481481482</v>
      </c>
      <c r="P32" s="9">
        <f t="shared" si="103"/>
        <v>0.15642458100558665</v>
      </c>
      <c r="Q32" s="9">
        <f t="shared" si="103"/>
        <v>0.14950166112956814</v>
      </c>
      <c r="R32" s="9">
        <f t="shared" si="103"/>
        <v>0.14695945945945948</v>
      </c>
      <c r="S32" s="9">
        <f t="shared" ref="S32:V32" si="104">S17/S16</f>
        <v>0.15</v>
      </c>
      <c r="T32" s="9">
        <f t="shared" si="104"/>
        <v>0.15</v>
      </c>
      <c r="U32" s="9">
        <f t="shared" si="104"/>
        <v>0.15</v>
      </c>
      <c r="V32" s="9">
        <f t="shared" si="104"/>
        <v>0.15</v>
      </c>
      <c r="X32" s="9">
        <f t="shared" ref="X32:Y32" si="105">X17/X16</f>
        <v>0.10213776722090263</v>
      </c>
      <c r="Y32" s="9">
        <f t="shared" si="105"/>
        <v>0.14576271186440667</v>
      </c>
      <c r="Z32" s="9">
        <f t="shared" ref="Z32:AN32" si="106">Z17/Z16</f>
        <v>0.1483516483516483</v>
      </c>
      <c r="AA32" s="9">
        <f t="shared" si="106"/>
        <v>0.11489898989898993</v>
      </c>
      <c r="AB32" s="9">
        <f t="shared" si="106"/>
        <v>0.11901681759379044</v>
      </c>
      <c r="AC32" s="9">
        <f t="shared" si="106"/>
        <v>0.15025427646786874</v>
      </c>
      <c r="AD32" s="9">
        <f t="shared" si="106"/>
        <v>0.15000000000000005</v>
      </c>
      <c r="AE32" s="9">
        <f t="shared" si="106"/>
        <v>0.15</v>
      </c>
      <c r="AF32" s="9">
        <f t="shared" si="106"/>
        <v>0.15</v>
      </c>
      <c r="AG32" s="9">
        <f t="shared" si="106"/>
        <v>0.15</v>
      </c>
      <c r="AH32" s="9">
        <f t="shared" si="106"/>
        <v>0.15</v>
      </c>
      <c r="AI32" s="9">
        <f t="shared" si="106"/>
        <v>0.15</v>
      </c>
      <c r="AJ32" s="9">
        <f t="shared" si="106"/>
        <v>0.15</v>
      </c>
      <c r="AK32" s="9">
        <f t="shared" si="106"/>
        <v>0.15</v>
      </c>
      <c r="AL32" s="9">
        <f t="shared" si="106"/>
        <v>0.15</v>
      </c>
      <c r="AM32" s="9">
        <f t="shared" si="106"/>
        <v>0.15</v>
      </c>
      <c r="AN32" s="9">
        <f t="shared" si="106"/>
        <v>0.15</v>
      </c>
      <c r="AQ32" t="s">
        <v>63</v>
      </c>
      <c r="AR32" s="6" t="s">
        <v>68</v>
      </c>
    </row>
    <row r="33" spans="2:40" x14ac:dyDescent="0.3">
      <c r="B33" t="s">
        <v>54</v>
      </c>
      <c r="C33" s="9">
        <f t="shared" ref="C33:F33" si="107">C18/C5</f>
        <v>0.21021377672209007</v>
      </c>
      <c r="D33" s="9">
        <f t="shared" si="107"/>
        <v>0.23517382413087931</v>
      </c>
      <c r="E33" s="9">
        <f t="shared" si="107"/>
        <v>0.2854609929078013</v>
      </c>
      <c r="F33" s="9">
        <f t="shared" si="107"/>
        <v>0.16570486397361936</v>
      </c>
      <c r="G33" s="9">
        <f>G18/G5</f>
        <v>0.25466766243465272</v>
      </c>
      <c r="H33" s="9">
        <f t="shared" ref="H33:R33" si="108">H18/H5</f>
        <v>0.24646892655367222</v>
      </c>
      <c r="I33" s="9">
        <f t="shared" si="108"/>
        <v>0.24322446143154983</v>
      </c>
      <c r="J33" s="9">
        <f t="shared" si="108"/>
        <v>0.23910171730515192</v>
      </c>
      <c r="K33" s="9">
        <f t="shared" si="108"/>
        <v>0.2624810892586989</v>
      </c>
      <c r="L33" s="9">
        <f t="shared" si="108"/>
        <v>0.24449877750611243</v>
      </c>
      <c r="M33" s="9">
        <f t="shared" si="108"/>
        <v>0.26086956521739146</v>
      </c>
      <c r="N33" s="9">
        <f t="shared" si="108"/>
        <v>0.28241430700447095</v>
      </c>
      <c r="O33" s="9">
        <f t="shared" si="108"/>
        <v>0.25952045133991536</v>
      </c>
      <c r="P33" s="9">
        <f t="shared" si="108"/>
        <v>0.28871892925430204</v>
      </c>
      <c r="Q33" s="9">
        <f t="shared" si="108"/>
        <v>0.286193404136389</v>
      </c>
      <c r="R33" s="9">
        <f t="shared" si="108"/>
        <v>0.25937339496661527</v>
      </c>
      <c r="S33" s="9">
        <f t="shared" ref="S33:V33" si="109">S18/S5</f>
        <v>0.28949587507365931</v>
      </c>
      <c r="T33" s="9">
        <f t="shared" si="109"/>
        <v>0.29639484084044521</v>
      </c>
      <c r="U33" s="9">
        <f t="shared" si="109"/>
        <v>0.28932257177428228</v>
      </c>
      <c r="V33" s="9">
        <f t="shared" si="109"/>
        <v>0.25497048611111117</v>
      </c>
      <c r="X33" s="9">
        <f t="shared" ref="X33:Y33" si="110">X18/X5</f>
        <v>0.16807469986660736</v>
      </c>
      <c r="Y33" s="9">
        <f t="shared" si="110"/>
        <v>0.18708240534521167</v>
      </c>
      <c r="Z33" s="9">
        <f t="shared" ref="Z33:AN33" si="111">Z18/Z5</f>
        <v>0.22350396539293443</v>
      </c>
      <c r="AA33" s="9">
        <f t="shared" si="111"/>
        <v>0.24562018220042042</v>
      </c>
      <c r="AB33" s="9">
        <f t="shared" si="111"/>
        <v>0.26298513226491593</v>
      </c>
      <c r="AC33" s="9">
        <f t="shared" si="111"/>
        <v>0.27338985571917296</v>
      </c>
      <c r="AD33" s="9">
        <f t="shared" si="111"/>
        <v>0.28150143971434627</v>
      </c>
      <c r="AE33" s="9">
        <f t="shared" si="111"/>
        <v>0.2839945078427597</v>
      </c>
      <c r="AF33" s="9">
        <f t="shared" si="111"/>
        <v>0.29367278320895834</v>
      </c>
      <c r="AG33" s="9">
        <f t="shared" si="111"/>
        <v>0.30040871264298086</v>
      </c>
      <c r="AH33" s="9">
        <f t="shared" si="111"/>
        <v>0.3062948647459095</v>
      </c>
      <c r="AI33" s="9">
        <f t="shared" si="111"/>
        <v>0.3094797943790451</v>
      </c>
      <c r="AJ33" s="9">
        <f t="shared" si="111"/>
        <v>0.31157532971853402</v>
      </c>
      <c r="AK33" s="9">
        <f t="shared" si="111"/>
        <v>0.31278319378919534</v>
      </c>
      <c r="AL33" s="9">
        <f t="shared" si="111"/>
        <v>0.31312512053279618</v>
      </c>
      <c r="AM33" s="9">
        <f t="shared" si="111"/>
        <v>0.31346938952846787</v>
      </c>
      <c r="AN33" s="9">
        <f t="shared" si="111"/>
        <v>0.31381600837319173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2024-12-09T09:33:22Z</dcterms:created>
  <dcterms:modified xsi:type="dcterms:W3CDTF">2025-04-04T09:33:27Z</dcterms:modified>
</cp:coreProperties>
</file>