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9883A2B8-1A67-413A-820D-6FFA43C1C0C0}" xr6:coauthVersionLast="47" xr6:coauthVersionMax="47" xr10:uidLastSave="{00000000-0000-0000-0000-000000000000}"/>
  <bookViews>
    <workbookView xWindow="-108" yWindow="-108" windowWidth="23256" windowHeight="12576" activeTab="1" xr2:uid="{47DEBD92-C91E-414F-94F5-E490FE1C7C9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F3" i="2" s="1"/>
  <c r="AG3" i="2" s="1"/>
  <c r="T3" i="2"/>
  <c r="AE7" i="2"/>
  <c r="AD14" i="2"/>
  <c r="AD11" i="2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D10" i="2"/>
  <c r="AD8" i="2"/>
  <c r="AD7" i="2"/>
  <c r="AF7" i="2" s="1"/>
  <c r="AD3" i="2"/>
  <c r="AD5" i="2" s="1"/>
  <c r="V9" i="2"/>
  <c r="T7" i="2"/>
  <c r="T23" i="2" s="1"/>
  <c r="T6" i="2"/>
  <c r="AD6" i="2" s="1"/>
  <c r="T5" i="2"/>
  <c r="T4" i="2" s="1"/>
  <c r="AD4" i="2" s="1"/>
  <c r="S25" i="2"/>
  <c r="R25" i="2"/>
  <c r="Q25" i="2"/>
  <c r="P25" i="2"/>
  <c r="O25" i="2"/>
  <c r="S24" i="2"/>
  <c r="R24" i="2"/>
  <c r="Q24" i="2"/>
  <c r="P24" i="2"/>
  <c r="O24" i="2"/>
  <c r="S23" i="2"/>
  <c r="R23" i="2"/>
  <c r="Q23" i="2"/>
  <c r="P23" i="2"/>
  <c r="O23" i="2"/>
  <c r="S22" i="2"/>
  <c r="R22" i="2"/>
  <c r="Q22" i="2"/>
  <c r="P22" i="2"/>
  <c r="O22" i="2"/>
  <c r="S21" i="2"/>
  <c r="R21" i="2"/>
  <c r="Q21" i="2"/>
  <c r="P21" i="2"/>
  <c r="O21" i="2"/>
  <c r="S20" i="2"/>
  <c r="R20" i="2"/>
  <c r="Q20" i="2"/>
  <c r="P20" i="2"/>
  <c r="O20" i="2"/>
  <c r="S19" i="2"/>
  <c r="R19" i="2"/>
  <c r="Q19" i="2"/>
  <c r="P19" i="2"/>
  <c r="O19" i="2"/>
  <c r="R14" i="2"/>
  <c r="R13" i="2"/>
  <c r="R11" i="2"/>
  <c r="R10" i="2"/>
  <c r="R8" i="2"/>
  <c r="R7" i="2"/>
  <c r="R6" i="2"/>
  <c r="R4" i="2"/>
  <c r="R3" i="2"/>
  <c r="Z10" i="2"/>
  <c r="L10" i="2" s="1"/>
  <c r="Z8" i="2"/>
  <c r="AC10" i="2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C8" i="2"/>
  <c r="AB8" i="2"/>
  <c r="P8" i="2" s="1"/>
  <c r="AB10" i="2"/>
  <c r="P10" i="2" s="1"/>
  <c r="AA10" i="2"/>
  <c r="N10" i="2" s="1"/>
  <c r="AA8" i="2"/>
  <c r="N8" i="2" s="1"/>
  <c r="P14" i="2"/>
  <c r="P13" i="2"/>
  <c r="P11" i="2"/>
  <c r="P7" i="2"/>
  <c r="P6" i="2"/>
  <c r="P4" i="2"/>
  <c r="P5" i="2" s="1"/>
  <c r="P3" i="2"/>
  <c r="N14" i="2"/>
  <c r="N13" i="2"/>
  <c r="N11" i="2"/>
  <c r="N7" i="2"/>
  <c r="N6" i="2"/>
  <c r="N4" i="2"/>
  <c r="N3" i="2"/>
  <c r="M8" i="2"/>
  <c r="M5" i="2"/>
  <c r="O8" i="2"/>
  <c r="O5" i="2"/>
  <c r="Q8" i="2"/>
  <c r="Q4" i="2"/>
  <c r="Q5" i="2" s="1"/>
  <c r="S8" i="2"/>
  <c r="S9" i="2" s="1"/>
  <c r="S12" i="2" s="1"/>
  <c r="K15" i="2"/>
  <c r="J15" i="2"/>
  <c r="I15" i="2"/>
  <c r="H15" i="2"/>
  <c r="G15" i="2"/>
  <c r="F15" i="2"/>
  <c r="E15" i="2"/>
  <c r="D15" i="2"/>
  <c r="C15" i="2"/>
  <c r="S4" i="2"/>
  <c r="S5" i="2" s="1"/>
  <c r="D7" i="1"/>
  <c r="D6" i="1"/>
  <c r="AA4" i="2"/>
  <c r="AA5" i="2" s="1"/>
  <c r="AB4" i="2"/>
  <c r="AB5" i="2" s="1"/>
  <c r="AC4" i="2"/>
  <c r="AC5" i="2" s="1"/>
  <c r="M23" i="2"/>
  <c r="L13" i="2"/>
  <c r="L11" i="2"/>
  <c r="L7" i="2"/>
  <c r="L6" i="2"/>
  <c r="L3" i="2"/>
  <c r="AH3" i="2" l="1"/>
  <c r="AI3" i="2" s="1"/>
  <c r="AJ3" i="2" s="1"/>
  <c r="AK3" i="2" s="1"/>
  <c r="AL3" i="2" s="1"/>
  <c r="AM3" i="2" s="1"/>
  <c r="AN3" i="2" s="1"/>
  <c r="AO3" i="2" s="1"/>
  <c r="T9" i="2"/>
  <c r="T12" i="2" s="1"/>
  <c r="T22" i="2"/>
  <c r="T19" i="2"/>
  <c r="T20" i="2"/>
  <c r="R5" i="2"/>
  <c r="R9" i="2" s="1"/>
  <c r="R12" i="2" s="1"/>
  <c r="R15" i="2" s="1"/>
  <c r="R17" i="2" s="1"/>
  <c r="AC9" i="2"/>
  <c r="AB9" i="2"/>
  <c r="AB12" i="2" s="1"/>
  <c r="AB15" i="2" s="1"/>
  <c r="AB17" i="2" s="1"/>
  <c r="AA9" i="2"/>
  <c r="AA12" i="2" s="1"/>
  <c r="AA15" i="2" s="1"/>
  <c r="AA17" i="2" s="1"/>
  <c r="P9" i="2"/>
  <c r="P12" i="2" s="1"/>
  <c r="P15" i="2" s="1"/>
  <c r="P17" i="2" s="1"/>
  <c r="N5" i="2"/>
  <c r="N9" i="2" s="1"/>
  <c r="N12" i="2" s="1"/>
  <c r="N15" i="2" s="1"/>
  <c r="N17" i="2" s="1"/>
  <c r="N23" i="2"/>
  <c r="M9" i="2"/>
  <c r="M12" i="2" s="1"/>
  <c r="M15" i="2" s="1"/>
  <c r="M17" i="2" s="1"/>
  <c r="O9" i="2"/>
  <c r="O12" i="2" s="1"/>
  <c r="O15" i="2" s="1"/>
  <c r="O17" i="2" s="1"/>
  <c r="Q9" i="2"/>
  <c r="Q12" i="2" s="1"/>
  <c r="Q15" i="2" s="1"/>
  <c r="Q17" i="2" s="1"/>
  <c r="AG7" i="2"/>
  <c r="AH7" i="2" s="1"/>
  <c r="AI7" i="2" s="1"/>
  <c r="AJ7" i="2" s="1"/>
  <c r="AK7" i="2" s="1"/>
  <c r="AL7" i="2" s="1"/>
  <c r="AM7" i="2" s="1"/>
  <c r="AN7" i="2" s="1"/>
  <c r="AO7" i="2" s="1"/>
  <c r="AE5" i="2"/>
  <c r="AC12" i="2"/>
  <c r="N22" i="2"/>
  <c r="N19" i="2"/>
  <c r="M19" i="2"/>
  <c r="M20" i="2"/>
  <c r="Z4" i="2"/>
  <c r="L4" i="2" s="1"/>
  <c r="L5" i="2" s="1"/>
  <c r="T13" i="2" l="1"/>
  <c r="AE6" i="2"/>
  <c r="T21" i="2"/>
  <c r="AC15" i="2"/>
  <c r="AC17" i="2" s="1"/>
  <c r="N20" i="2"/>
  <c r="S15" i="2"/>
  <c r="S17" i="2" s="1"/>
  <c r="N21" i="2"/>
  <c r="M22" i="2"/>
  <c r="AR27" i="2"/>
  <c r="Y23" i="2"/>
  <c r="X23" i="2"/>
  <c r="W23" i="2"/>
  <c r="Y19" i="2"/>
  <c r="X19" i="2"/>
  <c r="W19" i="2"/>
  <c r="Y22" i="2"/>
  <c r="X22" i="2"/>
  <c r="W22" i="2"/>
  <c r="V22" i="2"/>
  <c r="K23" i="2"/>
  <c r="I23" i="2"/>
  <c r="G23" i="2"/>
  <c r="E23" i="2"/>
  <c r="K22" i="2"/>
  <c r="I22" i="2"/>
  <c r="G22" i="2"/>
  <c r="E22" i="2"/>
  <c r="C22" i="2"/>
  <c r="K19" i="2"/>
  <c r="I19" i="2"/>
  <c r="G19" i="2"/>
  <c r="E19" i="2"/>
  <c r="J13" i="2"/>
  <c r="J11" i="2"/>
  <c r="J10" i="2"/>
  <c r="J7" i="2"/>
  <c r="L23" i="2" s="1"/>
  <c r="J6" i="2"/>
  <c r="J3" i="2"/>
  <c r="H13" i="2"/>
  <c r="H11" i="2"/>
  <c r="H10" i="2"/>
  <c r="H7" i="2"/>
  <c r="H6" i="2"/>
  <c r="H3" i="2"/>
  <c r="F13" i="2"/>
  <c r="F11" i="2"/>
  <c r="F10" i="2"/>
  <c r="F7" i="2"/>
  <c r="F6" i="2"/>
  <c r="F4" i="2"/>
  <c r="F3" i="2"/>
  <c r="D13" i="2"/>
  <c r="D11" i="2"/>
  <c r="D10" i="2"/>
  <c r="D7" i="2"/>
  <c r="D6" i="2"/>
  <c r="D4" i="2"/>
  <c r="D3" i="2"/>
  <c r="G8" i="2"/>
  <c r="G5" i="2"/>
  <c r="G20" i="2" s="1"/>
  <c r="C5" i="2"/>
  <c r="C9" i="2" s="1"/>
  <c r="C12" i="2" s="1"/>
  <c r="E8" i="2"/>
  <c r="E5" i="2"/>
  <c r="E20" i="2" s="1"/>
  <c r="V8" i="2"/>
  <c r="D8" i="2" s="1"/>
  <c r="V5" i="2"/>
  <c r="V20" i="2" s="1"/>
  <c r="W8" i="2"/>
  <c r="W5" i="2"/>
  <c r="W20" i="2" s="1"/>
  <c r="X8" i="2"/>
  <c r="X4" i="2"/>
  <c r="X5" i="2" s="1"/>
  <c r="X20" i="2" s="1"/>
  <c r="Y8" i="2"/>
  <c r="Y4" i="2"/>
  <c r="Y5" i="2" s="1"/>
  <c r="I8" i="2"/>
  <c r="I5" i="2"/>
  <c r="I20" i="2" s="1"/>
  <c r="K8" i="2"/>
  <c r="L8" i="2" s="1"/>
  <c r="K5" i="2"/>
  <c r="K20" i="2" s="1"/>
  <c r="D8" i="1"/>
  <c r="AR24" i="2" s="1"/>
  <c r="D5" i="1"/>
  <c r="F3" i="1"/>
  <c r="AD13" i="2" l="1"/>
  <c r="T24" i="2"/>
  <c r="T15" i="2"/>
  <c r="N24" i="2"/>
  <c r="D22" i="2"/>
  <c r="F23" i="2"/>
  <c r="C17" i="2"/>
  <c r="C25" i="2"/>
  <c r="J19" i="2"/>
  <c r="M21" i="2"/>
  <c r="H8" i="2"/>
  <c r="D5" i="2"/>
  <c r="D20" i="2" s="1"/>
  <c r="F22" i="2"/>
  <c r="J8" i="2"/>
  <c r="H19" i="2"/>
  <c r="J22" i="2"/>
  <c r="F8" i="2"/>
  <c r="F19" i="2"/>
  <c r="H4" i="2"/>
  <c r="H5" i="2" s="1"/>
  <c r="F5" i="2"/>
  <c r="F20" i="2" s="1"/>
  <c r="H22" i="2"/>
  <c r="H23" i="2"/>
  <c r="Y9" i="2"/>
  <c r="Y20" i="2"/>
  <c r="C21" i="2"/>
  <c r="K9" i="2"/>
  <c r="J23" i="2"/>
  <c r="C24" i="2"/>
  <c r="C20" i="2"/>
  <c r="J4" i="2"/>
  <c r="J5" i="2" s="1"/>
  <c r="D9" i="1"/>
  <c r="L19" i="2"/>
  <c r="G9" i="2"/>
  <c r="E9" i="2"/>
  <c r="W9" i="2"/>
  <c r="X9" i="2"/>
  <c r="I9" i="2"/>
  <c r="T17" i="2" l="1"/>
  <c r="T25" i="2"/>
  <c r="D9" i="2"/>
  <c r="D21" i="2" s="1"/>
  <c r="F9" i="2"/>
  <c r="F12" i="2" s="1"/>
  <c r="I12" i="2"/>
  <c r="I21" i="2"/>
  <c r="Y12" i="2"/>
  <c r="Y21" i="2"/>
  <c r="H9" i="2"/>
  <c r="H20" i="2"/>
  <c r="J9" i="2"/>
  <c r="J20" i="2"/>
  <c r="E12" i="2"/>
  <c r="E21" i="2"/>
  <c r="AB23" i="2"/>
  <c r="K21" i="2"/>
  <c r="K12" i="2"/>
  <c r="X12" i="2"/>
  <c r="X21" i="2"/>
  <c r="W12" i="2"/>
  <c r="W21" i="2"/>
  <c r="V12" i="2"/>
  <c r="V21" i="2"/>
  <c r="Z19" i="2"/>
  <c r="G12" i="2"/>
  <c r="G21" i="2"/>
  <c r="Z23" i="2"/>
  <c r="AA23" i="2"/>
  <c r="D12" i="2" l="1"/>
  <c r="D24" i="2" s="1"/>
  <c r="N25" i="2"/>
  <c r="M24" i="2"/>
  <c r="Z5" i="2"/>
  <c r="Z20" i="2" s="1"/>
  <c r="F21" i="2"/>
  <c r="E24" i="2"/>
  <c r="W15" i="2"/>
  <c r="W24" i="2"/>
  <c r="L20" i="2"/>
  <c r="G24" i="2"/>
  <c r="K24" i="2"/>
  <c r="X15" i="2"/>
  <c r="X24" i="2"/>
  <c r="I24" i="2"/>
  <c r="J12" i="2"/>
  <c r="J21" i="2"/>
  <c r="F24" i="2"/>
  <c r="Y15" i="2"/>
  <c r="Y24" i="2"/>
  <c r="V15" i="2"/>
  <c r="V24" i="2"/>
  <c r="AC23" i="2"/>
  <c r="H12" i="2"/>
  <c r="H21" i="2"/>
  <c r="Y17" i="2" l="1"/>
  <c r="Y25" i="2"/>
  <c r="K17" i="2"/>
  <c r="K25" i="2"/>
  <c r="E17" i="2"/>
  <c r="E25" i="2"/>
  <c r="F17" i="2"/>
  <c r="F25" i="2"/>
  <c r="G17" i="2"/>
  <c r="G25" i="2"/>
  <c r="D17" i="2"/>
  <c r="D25" i="2"/>
  <c r="X17" i="2"/>
  <c r="X25" i="2"/>
  <c r="V17" i="2"/>
  <c r="V25" i="2"/>
  <c r="I17" i="2"/>
  <c r="I25" i="2"/>
  <c r="W17" i="2"/>
  <c r="W25" i="2"/>
  <c r="M25" i="2"/>
  <c r="H24" i="2"/>
  <c r="AD23" i="2"/>
  <c r="J24" i="2"/>
  <c r="AA22" i="2"/>
  <c r="AA19" i="2"/>
  <c r="AB22" i="2" l="1"/>
  <c r="H17" i="2"/>
  <c r="H25" i="2"/>
  <c r="J17" i="2"/>
  <c r="J25" i="2"/>
  <c r="AB19" i="2"/>
  <c r="AA20" i="2"/>
  <c r="AE23" i="2"/>
  <c r="AC22" i="2" l="1"/>
  <c r="AB20" i="2"/>
  <c r="AC19" i="2"/>
  <c r="AA21" i="2"/>
  <c r="AF23" i="2"/>
  <c r="AK23" i="2" l="1"/>
  <c r="AD22" i="2"/>
  <c r="AD19" i="2"/>
  <c r="AC21" i="2"/>
  <c r="AC20" i="2"/>
  <c r="AG23" i="2"/>
  <c r="AB21" i="2"/>
  <c r="AL23" i="2" l="1"/>
  <c r="AE22" i="2"/>
  <c r="AE4" i="2"/>
  <c r="AE19" i="2"/>
  <c r="AD20" i="2"/>
  <c r="AD9" i="2"/>
  <c r="AD21" i="2" s="1"/>
  <c r="AH23" i="2"/>
  <c r="AF6" i="2" l="1"/>
  <c r="AF22" i="2" s="1"/>
  <c r="AF5" i="2"/>
  <c r="AM23" i="2"/>
  <c r="AF19" i="2"/>
  <c r="AE20" i="2"/>
  <c r="AE9" i="2"/>
  <c r="AE21" i="2" s="1"/>
  <c r="AJ23" i="2"/>
  <c r="AI23" i="2"/>
  <c r="AG5" i="2" l="1"/>
  <c r="AG6" i="2"/>
  <c r="AG22" i="2" s="1"/>
  <c r="AO23" i="2"/>
  <c r="AN23" i="2"/>
  <c r="AG19" i="2"/>
  <c r="AF4" i="2"/>
  <c r="AF9" i="2"/>
  <c r="AF21" i="2" s="1"/>
  <c r="AF20" i="2"/>
  <c r="AH5" i="2" l="1"/>
  <c r="AH6" i="2"/>
  <c r="AH22" i="2" s="1"/>
  <c r="AG4" i="2"/>
  <c r="AG20" i="2"/>
  <c r="AG9" i="2"/>
  <c r="AG21" i="2" s="1"/>
  <c r="AH19" i="2"/>
  <c r="AI5" i="2" l="1"/>
  <c r="AI4" i="2" s="1"/>
  <c r="AI6" i="2"/>
  <c r="AI22" i="2" s="1"/>
  <c r="AI19" i="2"/>
  <c r="AH4" i="2"/>
  <c r="AH20" i="2"/>
  <c r="AH9" i="2"/>
  <c r="AH21" i="2" s="1"/>
  <c r="AJ6" i="2" l="1"/>
  <c r="AJ22" i="2" s="1"/>
  <c r="AJ5" i="2"/>
  <c r="AJ19" i="2"/>
  <c r="AI20" i="2"/>
  <c r="AI9" i="2"/>
  <c r="AI21" i="2" s="1"/>
  <c r="AK6" i="2" l="1"/>
  <c r="AK22" i="2" s="1"/>
  <c r="AK5" i="2"/>
  <c r="AK4" i="2" s="1"/>
  <c r="AK19" i="2"/>
  <c r="AJ4" i="2"/>
  <c r="AJ9" i="2"/>
  <c r="AJ21" i="2" s="1"/>
  <c r="AJ20" i="2"/>
  <c r="AL6" i="2" l="1"/>
  <c r="AL22" i="2" s="1"/>
  <c r="AL5" i="2"/>
  <c r="AL19" i="2"/>
  <c r="AL4" i="2"/>
  <c r="AK20" i="2"/>
  <c r="AK9" i="2"/>
  <c r="AM5" i="2" l="1"/>
  <c r="AM4" i="2" s="1"/>
  <c r="AM6" i="2"/>
  <c r="AM22" i="2" s="1"/>
  <c r="AL20" i="2"/>
  <c r="AL9" i="2"/>
  <c r="AM19" i="2"/>
  <c r="AK21" i="2"/>
  <c r="AK12" i="2"/>
  <c r="AK13" i="2" s="1"/>
  <c r="AN5" i="2" l="1"/>
  <c r="AN4" i="2" s="1"/>
  <c r="AN6" i="2"/>
  <c r="AN22" i="2" s="1"/>
  <c r="AM20" i="2"/>
  <c r="AM9" i="2"/>
  <c r="AN19" i="2"/>
  <c r="AL12" i="2"/>
  <c r="AL13" i="2" s="1"/>
  <c r="AL21" i="2"/>
  <c r="AK24" i="2"/>
  <c r="AO5" i="2" l="1"/>
  <c r="AO4" i="2" s="1"/>
  <c r="AO6" i="2"/>
  <c r="AO22" i="2" s="1"/>
  <c r="AK15" i="2"/>
  <c r="AL15" i="2"/>
  <c r="AN20" i="2"/>
  <c r="AN9" i="2"/>
  <c r="AO19" i="2"/>
  <c r="AM12" i="2"/>
  <c r="AM13" i="2" s="1"/>
  <c r="AM21" i="2"/>
  <c r="L9" i="2"/>
  <c r="L21" i="2" s="1"/>
  <c r="L22" i="2"/>
  <c r="Z9" i="2"/>
  <c r="Z22" i="2"/>
  <c r="AL24" i="2" l="1"/>
  <c r="AM15" i="2"/>
  <c r="AO20" i="2"/>
  <c r="AO9" i="2"/>
  <c r="AN12" i="2"/>
  <c r="AN13" i="2" s="1"/>
  <c r="AN21" i="2"/>
  <c r="AL17" i="2"/>
  <c r="AL25" i="2"/>
  <c r="AK17" i="2"/>
  <c r="AK25" i="2"/>
  <c r="L12" i="2"/>
  <c r="L15" i="2" s="1"/>
  <c r="Z21" i="2"/>
  <c r="Z12" i="2"/>
  <c r="Z15" i="2" s="1"/>
  <c r="AM24" i="2" l="1"/>
  <c r="AN15" i="2"/>
  <c r="AM17" i="2"/>
  <c r="AM25" i="2"/>
  <c r="AO12" i="2"/>
  <c r="AO13" i="2" s="1"/>
  <c r="AO21" i="2"/>
  <c r="Z24" i="2"/>
  <c r="L24" i="2"/>
  <c r="AO15" i="2" l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AN24" i="2"/>
  <c r="AN17" i="2"/>
  <c r="AN25" i="2"/>
  <c r="L17" i="2"/>
  <c r="L25" i="2"/>
  <c r="Z25" i="2"/>
  <c r="AO24" i="2" l="1"/>
  <c r="AO17" i="2"/>
  <c r="AO25" i="2"/>
  <c r="Z17" i="2"/>
  <c r="AA24" i="2" l="1"/>
  <c r="AA25" i="2" l="1"/>
  <c r="AB24" i="2" l="1"/>
  <c r="AB25" i="2" l="1"/>
  <c r="AC24" i="2" l="1"/>
  <c r="AD12" i="2" l="1"/>
  <c r="AC25" i="2"/>
  <c r="AD24" i="2" l="1"/>
  <c r="AD15" i="2" l="1"/>
  <c r="AE12" i="2"/>
  <c r="AE13" i="2" s="1"/>
  <c r="AD25" i="2" l="1"/>
  <c r="AD17" i="2"/>
  <c r="AE24" i="2"/>
  <c r="AE15" i="2" l="1"/>
  <c r="AE25" i="2" s="1"/>
  <c r="AF12" i="2"/>
  <c r="AF13" i="2" s="1"/>
  <c r="AE17" i="2" l="1"/>
  <c r="AF15" i="2"/>
  <c r="AF24" i="2" l="1"/>
  <c r="AF25" i="2"/>
  <c r="AF17" i="2" l="1"/>
  <c r="AG12" i="2"/>
  <c r="AG13" i="2" s="1"/>
  <c r="AG24" i="2" l="1"/>
  <c r="AG15" i="2" l="1"/>
  <c r="AG25" i="2" s="1"/>
  <c r="AH12" i="2"/>
  <c r="AH13" i="2" s="1"/>
  <c r="AG17" i="2" l="1"/>
  <c r="AH15" i="2"/>
  <c r="AH25" i="2" s="1"/>
  <c r="AH24" i="2" l="1"/>
  <c r="AI12" i="2"/>
  <c r="AI13" i="2" s="1"/>
  <c r="AH17" i="2"/>
  <c r="AI15" i="2" l="1"/>
  <c r="AI24" i="2" l="1"/>
  <c r="AI25" i="2"/>
  <c r="AI17" i="2" l="1"/>
  <c r="AJ12" i="2"/>
  <c r="AJ13" i="2" s="1"/>
  <c r="AJ24" i="2" l="1"/>
  <c r="AJ15" i="2" l="1"/>
  <c r="AJ25" i="2" s="1"/>
  <c r="AJ17" i="2" l="1"/>
  <c r="AR23" i="2" l="1"/>
  <c r="AR25" i="2" s="1"/>
  <c r="AR26" i="2" s="1"/>
  <c r="AR28" i="2" s="1"/>
</calcChain>
</file>

<file path=xl/sharedStrings.xml><?xml version="1.0" encoding="utf-8"?>
<sst xmlns="http://schemas.openxmlformats.org/spreadsheetml/2006/main" count="65" uniqueCount="60">
  <si>
    <t>NXT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</si>
  <si>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</si>
  <si>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</si>
  <si>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</si>
  <si>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</si>
  <si>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</si>
  <si>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</si>
  <si>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</si>
  <si>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</si>
  <si>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</si>
  <si>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</si>
  <si>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H120</t>
  </si>
  <si>
    <t>Revenue</t>
  </si>
  <si>
    <t>H118</t>
  </si>
  <si>
    <t>H218</t>
  </si>
  <si>
    <t>H220</t>
  </si>
  <si>
    <t>H119</t>
  </si>
  <si>
    <t>H219</t>
  </si>
  <si>
    <t>H217</t>
  </si>
  <si>
    <t>H117</t>
  </si>
  <si>
    <t>Cost of sales</t>
  </si>
  <si>
    <t>Gross profit</t>
  </si>
  <si>
    <t>Distribution costs</t>
  </si>
  <si>
    <t>Administrative expenses</t>
  </si>
  <si>
    <t>Other expenses</t>
  </si>
  <si>
    <t>Operating profit</t>
  </si>
  <si>
    <t>Finance income</t>
  </si>
  <si>
    <t>Finance costs</t>
  </si>
  <si>
    <t>Pretax profit</t>
  </si>
  <si>
    <t>Taxes</t>
  </si>
  <si>
    <t>Net profit</t>
  </si>
  <si>
    <t>EPS</t>
  </si>
  <si>
    <t>H116</t>
  </si>
  <si>
    <t>H216</t>
  </si>
  <si>
    <t>Gross Margin</t>
  </si>
  <si>
    <t>Revenue y/y</t>
  </si>
  <si>
    <t>Operating Margin</t>
  </si>
  <si>
    <t>Distribution Margin</t>
  </si>
  <si>
    <t>Administrative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</si>
  <si>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</si>
  <si>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</si>
  <si>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</si>
  <si>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</si>
  <si>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</si>
  <si>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</si>
  <si>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</si>
  <si>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</si>
  <si>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</si>
  <si>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H121</t>
  </si>
  <si>
    <t>H221</t>
  </si>
  <si>
    <t>needs more research, guidance seems way more optimistic than my forecasts</t>
  </si>
  <si>
    <t>Net Margin</t>
  </si>
  <si>
    <t>H122</t>
  </si>
  <si>
    <t>H222</t>
  </si>
  <si>
    <t>H123</t>
  </si>
  <si>
    <t>H223</t>
  </si>
  <si>
    <t>H124</t>
  </si>
  <si>
    <t>H224</t>
  </si>
  <si>
    <t>MI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</si>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</sst>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</xdr:colOff>
      <xdr:row>0</xdr:row>
      <xdr:rowOff>7620</xdr:rowOff>
    </xdr:from>
    <xdr:to>
      <xdr:col>19</xdr:col>
      <xdr:colOff>15240</xdr:colOff>
      <xdr:row>34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CD25AF9-0954-4864-92B6-F14304A5EBC4}"/>
            </a:ext>
          </a:extLst>
        </xdr:cNvPr>
        <xdr:cNvCxnSpPr/>
      </xdr:nvCxnSpPr>
      <xdr:spPr>
        <a:xfrm>
          <a:off x="14356080" y="7620"/>
          <a:ext cx="0" cy="63169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15240</xdr:colOff>
      <xdr:row>0</xdr:row>
      <xdr:rowOff>0</xdr:rowOff>
    </xdr:from>
    <xdr:to>
      <xdr:col>29</xdr:col>
      <xdr:colOff>15240</xdr:colOff>
      <xdr:row>34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6650580-9442-40D0-B8CB-3B2B13AE9BE7}"/>
            </a:ext>
          </a:extLst>
        </xdr:cNvPr>
        <xdr:cNvCxnSpPr/>
      </xdr:nvCxnSpPr>
      <xdr:spPr>
        <a:xfrm>
          <a:off x="21480780" y="0"/>
          <a:ext cx="0" cy="63093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F8B0-E987-49D6-A737-8DEDD225F8D0}">
  <dimension ref="B2:G9"/>
  <sheetViews>
    <sheetView workbookViewId="0">
      <selection activeCell="D4" sqref="D4"/>
    </sheetView>
  </sheetViews>
  <sheetFormatPr defaultRowHeight="14.4" x14ac:dyDescent="0.3"/>
  <cols>
    <col min="4" max="4" width="10" bestFit="1" customWidth="1"/>
    <col min="5" max="7" width="15.77734375" style="6" customWidth="1"/>
  </cols>
  <sheetData>
    <row r="2" spans="2:7" x14ac:dyDescent="0.3">
      <c r="E2" s="6" t="s">
        <v>8</v>
      </c>
      <c r="F2" s="6" t="s">
        <v>9</v>
      </c>
      <c r="G2" s="6" t="s">
        <v>10</v>
      </c>
    </row>
    <row r="3" spans="2:7" x14ac:dyDescent="0.3">
      <c r="B3" s="1" t="s">
        <v>0</v>
      </c>
      <c r="C3" t="s">
        <v>1</v>
      </c>
      <c r="D3" s="3">
        <v>98.62</v>
      </c>
      <c r="E3" s="7">
        <v>45605</v>
      </c>
      <c r="F3" s="7">
        <f ca="1">TODAY()</f>
        <v>45605</v>
      </c>
      <c r="G3" s="7">
        <v>45664</v>
      </c>
    </row>
    <row r="4" spans="2:7" x14ac:dyDescent="0.3">
      <c r="C4" t="s">
        <v>2</v>
      </c>
      <c r="D4" s="4">
        <v>126.8</v>
      </c>
      <c r="E4" s="6" t="s">
        <v>56</v>
      </c>
    </row>
    <row r="5" spans="2:7" x14ac:dyDescent="0.3">
      <c r="C5" t="s">
        <v>3</v>
      </c>
      <c r="D5" s="4">
        <f>D3*D4</f>
        <v>12505.016</v>
      </c>
    </row>
    <row r="6" spans="2:7" x14ac:dyDescent="0.3">
      <c r="C6" t="s">
        <v>4</v>
      </c>
      <c r="D6" s="4">
        <f>153.6+40.4</f>
        <v>194</v>
      </c>
      <c r="E6" s="6" t="s">
        <v>56</v>
      </c>
    </row>
    <row r="7" spans="2:7" x14ac:dyDescent="0.3">
      <c r="C7" t="s">
        <v>5</v>
      </c>
      <c r="D7" s="4">
        <f>791.6+71.3</f>
        <v>862.9</v>
      </c>
      <c r="E7" s="6" t="s">
        <v>56</v>
      </c>
    </row>
    <row r="8" spans="2:7" x14ac:dyDescent="0.3">
      <c r="C8" t="s">
        <v>6</v>
      </c>
      <c r="D8" s="4">
        <f>D6-D7</f>
        <v>-668.9</v>
      </c>
    </row>
    <row r="9" spans="2:7" x14ac:dyDescent="0.3">
      <c r="C9" t="s">
        <v>7</v>
      </c>
      <c r="D9" s="4">
        <f>D5-D8</f>
        <v>13173.915999999999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1A83-FEFC-4BA3-8CD4-1897F417DA32}">
  <dimension ref="B1:ES31"/>
  <sheetViews>
    <sheetView tabSelected="1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Q3" sqref="Q3"/>
    </sheetView>
  </sheetViews>
  <sheetFormatPr defaultRowHeight="14.4" x14ac:dyDescent="0.3"/>
  <cols>
    <col min="2" max="2" width="20.77734375" bestFit="1" customWidth="1"/>
    <col min="3" max="20" width="10.5546875" customWidth="1"/>
    <col min="22" max="41" width="10.5546875" bestFit="1" customWidth="1"/>
    <col min="43" max="43" width="12" bestFit="1" customWidth="1"/>
    <col min="44" max="44" width="16.21875" bestFit="1" customWidth="1"/>
  </cols>
  <sheetData>
    <row r="1" spans="2:149" x14ac:dyDescent="0.3">
      <c r="C1" s="2">
        <v>42582</v>
      </c>
      <c r="D1" s="2">
        <v>42766</v>
      </c>
      <c r="E1" s="2">
        <v>42947</v>
      </c>
      <c r="F1" s="2">
        <v>43131</v>
      </c>
      <c r="G1" s="2">
        <v>43312</v>
      </c>
      <c r="H1" s="2">
        <v>43496</v>
      </c>
      <c r="I1" s="2">
        <v>43677</v>
      </c>
      <c r="J1" s="2">
        <v>43861</v>
      </c>
      <c r="K1" s="2">
        <v>44043</v>
      </c>
      <c r="L1" s="2">
        <v>44227</v>
      </c>
      <c r="M1" s="2">
        <v>44408</v>
      </c>
      <c r="N1" s="2">
        <v>44592</v>
      </c>
      <c r="O1" s="2">
        <v>44773</v>
      </c>
      <c r="P1" s="2">
        <v>44957</v>
      </c>
      <c r="Q1" s="2">
        <v>45138</v>
      </c>
      <c r="R1" s="2">
        <v>45322</v>
      </c>
      <c r="S1" s="2">
        <v>45504</v>
      </c>
      <c r="T1" s="2">
        <v>45688</v>
      </c>
      <c r="V1" s="2">
        <v>42766</v>
      </c>
      <c r="W1" s="2">
        <v>43131</v>
      </c>
      <c r="X1" s="2">
        <v>43496</v>
      </c>
      <c r="Y1" s="2">
        <v>43861</v>
      </c>
      <c r="Z1" s="2">
        <v>44227</v>
      </c>
      <c r="AA1" s="2">
        <v>44592</v>
      </c>
      <c r="AB1" s="2">
        <v>44957</v>
      </c>
      <c r="AC1" s="2">
        <v>45322</v>
      </c>
      <c r="AD1" s="2">
        <v>45688</v>
      </c>
      <c r="AE1" s="2">
        <v>46053</v>
      </c>
      <c r="AF1" s="2">
        <v>46418</v>
      </c>
      <c r="AG1" s="2">
        <v>46783</v>
      </c>
      <c r="AH1" s="2">
        <v>47149</v>
      </c>
      <c r="AI1" s="2">
        <v>47514</v>
      </c>
      <c r="AJ1" s="2">
        <v>47879</v>
      </c>
      <c r="AK1" s="2">
        <v>48244</v>
      </c>
      <c r="AL1" s="2">
        <v>48610</v>
      </c>
      <c r="AM1" s="2">
        <v>48975</v>
      </c>
      <c r="AN1" s="2">
        <v>49340</v>
      </c>
      <c r="AO1" s="2">
        <v>49705</v>
      </c>
    </row>
    <row r="2" spans="2:149" x14ac:dyDescent="0.3">
      <c r="C2" s="5" t="s">
        <v>32</v>
      </c>
      <c r="D2" s="5" t="s">
        <v>33</v>
      </c>
      <c r="E2" s="5" t="s">
        <v>19</v>
      </c>
      <c r="F2" s="5" t="s">
        <v>18</v>
      </c>
      <c r="G2" s="5" t="s">
        <v>13</v>
      </c>
      <c r="H2" s="5" t="s">
        <v>14</v>
      </c>
      <c r="I2" s="5" t="s">
        <v>16</v>
      </c>
      <c r="J2" s="5" t="s">
        <v>17</v>
      </c>
      <c r="K2" s="5" t="s">
        <v>11</v>
      </c>
      <c r="L2" s="5" t="s">
        <v>15</v>
      </c>
      <c r="M2" s="5" t="s">
        <v>48</v>
      </c>
      <c r="N2" s="5" t="s">
        <v>49</v>
      </c>
      <c r="O2" s="5" t="s">
        <v>52</v>
      </c>
      <c r="P2" s="5" t="s">
        <v>53</v>
      </c>
      <c r="Q2" s="5" t="s">
        <v>54</v>
      </c>
      <c r="R2" s="5" t="s">
        <v>55</v>
      </c>
      <c r="S2" s="5" t="s">
        <v>56</v>
      </c>
      <c r="T2" s="5" t="s">
        <v>57</v>
      </c>
      <c r="V2">
        <v>2016</v>
      </c>
      <c r="W2">
        <v>2017</v>
      </c>
      <c r="X2">
        <v>2018</v>
      </c>
      <c r="Y2">
        <v>2019</v>
      </c>
      <c r="Z2">
        <v>2020</v>
      </c>
      <c r="AA2">
        <v>2021</v>
      </c>
      <c r="AB2">
        <v>2022</v>
      </c>
      <c r="AC2">
        <v>2023</v>
      </c>
      <c r="AD2">
        <v>2024</v>
      </c>
      <c r="AE2">
        <v>2025</v>
      </c>
      <c r="AF2">
        <v>2026</v>
      </c>
      <c r="AG2">
        <v>2027</v>
      </c>
      <c r="AH2">
        <v>2028</v>
      </c>
      <c r="AI2">
        <v>2029</v>
      </c>
      <c r="AJ2">
        <v>2030</v>
      </c>
      <c r="AK2">
        <v>2031</v>
      </c>
      <c r="AL2">
        <v>2032</v>
      </c>
      <c r="AM2">
        <v>2033</v>
      </c>
      <c r="AN2">
        <v>2034</v>
      </c>
      <c r="AO2">
        <v>2035</v>
      </c>
    </row>
    <row r="3" spans="2:149" s="1" customFormat="1" x14ac:dyDescent="0.3">
      <c r="B3" s="1" t="s">
        <v>12</v>
      </c>
      <c r="C3" s="9">
        <v>1939.7</v>
      </c>
      <c r="D3" s="9">
        <f>V3-C3</f>
        <v>2157.6000000000004</v>
      </c>
      <c r="E3" s="9">
        <v>1887.6</v>
      </c>
      <c r="F3" s="9">
        <f>W3-E3</f>
        <v>2167.9</v>
      </c>
      <c r="G3" s="9">
        <v>1961.9</v>
      </c>
      <c r="H3" s="9">
        <f>X3-G3</f>
        <v>2205.4999999999995</v>
      </c>
      <c r="I3" s="9">
        <v>2014.5</v>
      </c>
      <c r="J3" s="9">
        <f>Y3-I3</f>
        <v>2251.6999999999998</v>
      </c>
      <c r="K3" s="9">
        <v>1332.7</v>
      </c>
      <c r="L3" s="9">
        <f>Z3-K3</f>
        <v>2201.6999999999998</v>
      </c>
      <c r="M3" s="9">
        <v>2119.5</v>
      </c>
      <c r="N3" s="9">
        <f>AA3-M3</f>
        <v>2506.3999999999996</v>
      </c>
      <c r="O3" s="9">
        <v>2379.6</v>
      </c>
      <c r="P3" s="9">
        <f>AB3-O3</f>
        <v>2654.4</v>
      </c>
      <c r="Q3" s="9">
        <v>2516.6</v>
      </c>
      <c r="R3" s="9">
        <f>AC3-Q3</f>
        <v>2974.4</v>
      </c>
      <c r="S3" s="9">
        <v>2860</v>
      </c>
      <c r="T3" s="9">
        <f>R3*1.05</f>
        <v>3123.1200000000003</v>
      </c>
      <c r="V3" s="9">
        <v>4097.3</v>
      </c>
      <c r="W3" s="9">
        <v>4055.5</v>
      </c>
      <c r="X3" s="9">
        <v>4167.3999999999996</v>
      </c>
      <c r="Y3" s="9">
        <v>4266.2</v>
      </c>
      <c r="Z3" s="9">
        <v>3534.4</v>
      </c>
      <c r="AA3" s="9">
        <v>4625.8999999999996</v>
      </c>
      <c r="AB3" s="9">
        <v>5034</v>
      </c>
      <c r="AC3" s="9">
        <v>5491</v>
      </c>
      <c r="AD3" s="9">
        <f>SUM(S3:T3)</f>
        <v>5983.1200000000008</v>
      </c>
      <c r="AE3" s="9">
        <f>AD3*1.05</f>
        <v>6282.2760000000007</v>
      </c>
      <c r="AF3" s="9">
        <f>AE3*1.03</f>
        <v>6470.7442800000008</v>
      </c>
      <c r="AG3" s="9">
        <f>AF3*1.02</f>
        <v>6600.159165600001</v>
      </c>
      <c r="AH3" s="9">
        <f t="shared" ref="AH3:AO3" si="0">AG3*1.01</f>
        <v>6666.1607572560006</v>
      </c>
      <c r="AI3" s="9">
        <f t="shared" si="0"/>
        <v>6732.8223648285602</v>
      </c>
      <c r="AJ3" s="9">
        <f t="shared" si="0"/>
        <v>6800.1505884768458</v>
      </c>
      <c r="AK3" s="9">
        <f t="shared" si="0"/>
        <v>6868.1520943616142</v>
      </c>
      <c r="AL3" s="9">
        <f t="shared" si="0"/>
        <v>6936.8336153052305</v>
      </c>
      <c r="AM3" s="9">
        <f t="shared" si="0"/>
        <v>7006.2019514582826</v>
      </c>
      <c r="AN3" s="9">
        <f t="shared" si="0"/>
        <v>7076.2639709728655</v>
      </c>
      <c r="AO3" s="9">
        <f t="shared" si="0"/>
        <v>7147.0266106825939</v>
      </c>
    </row>
    <row r="4" spans="2:149" x14ac:dyDescent="0.3">
      <c r="B4" t="s">
        <v>20</v>
      </c>
      <c r="C4" s="4">
        <v>1307.5</v>
      </c>
      <c r="D4" s="4">
        <f>V4-C4</f>
        <v>1403.1999999999998</v>
      </c>
      <c r="E4" s="4">
        <v>1285.4000000000001</v>
      </c>
      <c r="F4" s="4">
        <f>W4-E4</f>
        <v>1413.9</v>
      </c>
      <c r="G4" s="4">
        <v>1287.8</v>
      </c>
      <c r="H4" s="4">
        <f>X4-G4</f>
        <v>1327.0999999999997</v>
      </c>
      <c r="I4" s="4">
        <v>1249.5999999999999</v>
      </c>
      <c r="J4" s="4">
        <f>Y4-I4</f>
        <v>1376.1</v>
      </c>
      <c r="K4" s="4">
        <v>961.2</v>
      </c>
      <c r="L4" s="4">
        <f>Z4-K4</f>
        <v>1325.3</v>
      </c>
      <c r="M4" s="4">
        <v>1237.3</v>
      </c>
      <c r="N4" s="12">
        <f>AA4-M4</f>
        <v>1416.6000000000001</v>
      </c>
      <c r="O4" s="4">
        <v>1388.8</v>
      </c>
      <c r="P4" s="12">
        <f>AB4-O4</f>
        <v>1469.8999999999999</v>
      </c>
      <c r="Q4" s="4">
        <f>1399.9+17.6</f>
        <v>1417.5</v>
      </c>
      <c r="R4" s="12">
        <f>AC4-Q4</f>
        <v>1653</v>
      </c>
      <c r="S4" s="4">
        <f>1633.8+4.9</f>
        <v>1638.7</v>
      </c>
      <c r="T4" s="4">
        <f>T3-T5</f>
        <v>1780.1784000000002</v>
      </c>
      <c r="V4" s="4">
        <v>2710.7</v>
      </c>
      <c r="W4" s="4">
        <v>2699.3</v>
      </c>
      <c r="X4" s="4">
        <f>2562.2+52.7</f>
        <v>2614.8999999999996</v>
      </c>
      <c r="Y4" s="4">
        <f>2584.2+41.5</f>
        <v>2625.7</v>
      </c>
      <c r="Z4" s="4">
        <f>2231.7+54.8</f>
        <v>2286.5</v>
      </c>
      <c r="AA4" s="4">
        <f>2625.3+28.6</f>
        <v>2653.9</v>
      </c>
      <c r="AB4" s="4">
        <f>2827.7+31</f>
        <v>2858.7</v>
      </c>
      <c r="AC4" s="4">
        <f>3034.5+36</f>
        <v>3070.5</v>
      </c>
      <c r="AD4" s="12">
        <f>SUM(S4:T4)</f>
        <v>3418.8784000000005</v>
      </c>
      <c r="AE4" s="4">
        <f t="shared" ref="AD4:AJ4" si="1">AE3-AE5</f>
        <v>3518.0745600000005</v>
      </c>
      <c r="AF4" s="4">
        <f t="shared" si="1"/>
        <v>3623.6167968000004</v>
      </c>
      <c r="AG4" s="4">
        <f t="shared" si="1"/>
        <v>3696.0891327360005</v>
      </c>
      <c r="AH4" s="4">
        <f t="shared" si="1"/>
        <v>3733.0500240633605</v>
      </c>
      <c r="AI4" s="4">
        <f t="shared" si="1"/>
        <v>3770.3805243039938</v>
      </c>
      <c r="AJ4" s="4">
        <f t="shared" si="1"/>
        <v>3808.0843295470336</v>
      </c>
      <c r="AK4" s="4">
        <f t="shared" ref="AK4:AO4" si="2">AK3-AK5</f>
        <v>3846.165172842504</v>
      </c>
      <c r="AL4" s="4">
        <f t="shared" si="2"/>
        <v>3884.6268245709289</v>
      </c>
      <c r="AM4" s="4">
        <f t="shared" si="2"/>
        <v>3923.4730928166382</v>
      </c>
      <c r="AN4" s="4">
        <f t="shared" si="2"/>
        <v>3962.7078237448045</v>
      </c>
      <c r="AO4" s="4">
        <f t="shared" si="2"/>
        <v>4002.3349019822526</v>
      </c>
    </row>
    <row r="5" spans="2:149" s="1" customFormat="1" x14ac:dyDescent="0.3">
      <c r="B5" s="1" t="s">
        <v>21</v>
      </c>
      <c r="C5" s="9">
        <f t="shared" ref="C5:L5" si="3">C3-C4</f>
        <v>632.20000000000005</v>
      </c>
      <c r="D5" s="9">
        <f t="shared" si="3"/>
        <v>754.40000000000055</v>
      </c>
      <c r="E5" s="9">
        <f t="shared" si="3"/>
        <v>602.19999999999982</v>
      </c>
      <c r="F5" s="9">
        <f t="shared" si="3"/>
        <v>754</v>
      </c>
      <c r="G5" s="9">
        <f t="shared" si="3"/>
        <v>674.10000000000014</v>
      </c>
      <c r="H5" s="9">
        <f t="shared" si="3"/>
        <v>878.39999999999986</v>
      </c>
      <c r="I5" s="9">
        <f t="shared" si="3"/>
        <v>764.90000000000009</v>
      </c>
      <c r="J5" s="9">
        <f t="shared" si="3"/>
        <v>875.59999999999991</v>
      </c>
      <c r="K5" s="9">
        <f t="shared" si="3"/>
        <v>371.5</v>
      </c>
      <c r="L5" s="9">
        <f t="shared" si="3"/>
        <v>876.39999999999986</v>
      </c>
      <c r="M5" s="9">
        <f>M3-M4</f>
        <v>882.2</v>
      </c>
      <c r="N5" s="9">
        <f t="shared" ref="N5:P5" si="4">N3-N4</f>
        <v>1089.7999999999995</v>
      </c>
      <c r="O5" s="9">
        <f>O3-O4</f>
        <v>990.8</v>
      </c>
      <c r="P5" s="9">
        <f t="shared" si="4"/>
        <v>1184.5000000000002</v>
      </c>
      <c r="Q5" s="9">
        <f>Q3-Q4</f>
        <v>1099.0999999999999</v>
      </c>
      <c r="R5" s="9">
        <f t="shared" ref="R5" si="5">R3-R4</f>
        <v>1321.4</v>
      </c>
      <c r="S5" s="9">
        <f>S3-S4</f>
        <v>1221.3</v>
      </c>
      <c r="T5" s="9">
        <f>T3*0.43</f>
        <v>1342.9416000000001</v>
      </c>
      <c r="V5" s="9">
        <f t="shared" ref="V5:AD5" si="6">V3-V4</f>
        <v>1386.6000000000004</v>
      </c>
      <c r="W5" s="9">
        <f t="shared" si="6"/>
        <v>1356.1999999999998</v>
      </c>
      <c r="X5" s="9">
        <f t="shared" si="6"/>
        <v>1552.5</v>
      </c>
      <c r="Y5" s="9">
        <f t="shared" si="6"/>
        <v>1640.5</v>
      </c>
      <c r="Z5" s="9">
        <f t="shared" si="6"/>
        <v>1247.9000000000001</v>
      </c>
      <c r="AA5" s="9">
        <f t="shared" si="6"/>
        <v>1971.9999999999995</v>
      </c>
      <c r="AB5" s="9">
        <f t="shared" si="6"/>
        <v>2175.3000000000002</v>
      </c>
      <c r="AC5" s="9">
        <f t="shared" si="6"/>
        <v>2420.5</v>
      </c>
      <c r="AD5" s="9">
        <f t="shared" si="6"/>
        <v>2564.2416000000003</v>
      </c>
      <c r="AE5" s="9">
        <f t="shared" ref="AE5:AO5" si="7">AE3*0.44</f>
        <v>2764.2014400000003</v>
      </c>
      <c r="AF5" s="9">
        <f t="shared" si="7"/>
        <v>2847.1274832000004</v>
      </c>
      <c r="AG5" s="9">
        <f t="shared" si="7"/>
        <v>2904.0700328640005</v>
      </c>
      <c r="AH5" s="9">
        <f t="shared" si="7"/>
        <v>2933.1107331926401</v>
      </c>
      <c r="AI5" s="9">
        <f t="shared" si="7"/>
        <v>2962.4418405245665</v>
      </c>
      <c r="AJ5" s="9">
        <f t="shared" si="7"/>
        <v>2992.0662589298122</v>
      </c>
      <c r="AK5" s="9">
        <f t="shared" si="7"/>
        <v>3021.9869215191102</v>
      </c>
      <c r="AL5" s="9">
        <f t="shared" si="7"/>
        <v>3052.2067907343016</v>
      </c>
      <c r="AM5" s="9">
        <f t="shared" si="7"/>
        <v>3082.7288586416444</v>
      </c>
      <c r="AN5" s="9">
        <f t="shared" si="7"/>
        <v>3113.556147228061</v>
      </c>
      <c r="AO5" s="9">
        <f t="shared" si="7"/>
        <v>3144.6917087003412</v>
      </c>
    </row>
    <row r="6" spans="2:149" x14ac:dyDescent="0.3">
      <c r="B6" t="s">
        <v>22</v>
      </c>
      <c r="C6" s="4">
        <v>169</v>
      </c>
      <c r="D6" s="4">
        <f>V6-C6</f>
        <v>176.10000000000002</v>
      </c>
      <c r="E6" s="4">
        <v>169.6</v>
      </c>
      <c r="F6" s="4">
        <f>W6-E6</f>
        <v>194.29999999999998</v>
      </c>
      <c r="G6" s="4">
        <v>214.9</v>
      </c>
      <c r="H6" s="4">
        <f>X6-G6</f>
        <v>242.6</v>
      </c>
      <c r="I6" s="4">
        <v>249.6</v>
      </c>
      <c r="J6" s="4">
        <f>Y6-I6</f>
        <v>267.39999999999998</v>
      </c>
      <c r="K6" s="4">
        <v>227</v>
      </c>
      <c r="L6" s="4">
        <f>Z6-K6</f>
        <v>328.79999999999995</v>
      </c>
      <c r="M6" s="4">
        <v>332.7</v>
      </c>
      <c r="N6" s="12">
        <f>AA6-M6</f>
        <v>361.00000000000006</v>
      </c>
      <c r="O6" s="4">
        <v>362.4</v>
      </c>
      <c r="P6" s="12">
        <f>AB6-O6</f>
        <v>387.6</v>
      </c>
      <c r="Q6" s="4">
        <v>376.5</v>
      </c>
      <c r="R6" s="12">
        <f>AC6-Q6</f>
        <v>417.6</v>
      </c>
      <c r="S6" s="4">
        <v>422.8</v>
      </c>
      <c r="T6" s="4">
        <f>T3*0.14</f>
        <v>437.23680000000007</v>
      </c>
      <c r="V6" s="4">
        <v>345.1</v>
      </c>
      <c r="W6" s="4">
        <v>363.9</v>
      </c>
      <c r="X6" s="4">
        <v>457.5</v>
      </c>
      <c r="Y6" s="4">
        <v>517</v>
      </c>
      <c r="Z6" s="4">
        <v>555.79999999999995</v>
      </c>
      <c r="AA6" s="4">
        <v>693.7</v>
      </c>
      <c r="AB6" s="4">
        <v>750</v>
      </c>
      <c r="AC6" s="4">
        <v>794.1</v>
      </c>
      <c r="AD6" s="12">
        <f>SUM(S6:T6)</f>
        <v>860.03680000000008</v>
      </c>
      <c r="AE6" s="4">
        <f t="shared" ref="AE6:AO6" si="8">AE3*0.14</f>
        <v>879.51864000000023</v>
      </c>
      <c r="AF6" s="4">
        <f t="shared" si="8"/>
        <v>905.90419920000022</v>
      </c>
      <c r="AG6" s="4">
        <f t="shared" si="8"/>
        <v>924.02228318400023</v>
      </c>
      <c r="AH6" s="4">
        <f t="shared" si="8"/>
        <v>933.26250601584013</v>
      </c>
      <c r="AI6" s="4">
        <f t="shared" si="8"/>
        <v>942.59513107599855</v>
      </c>
      <c r="AJ6" s="4">
        <f t="shared" si="8"/>
        <v>952.02108238675851</v>
      </c>
      <c r="AK6" s="4">
        <f t="shared" si="8"/>
        <v>961.54129321062612</v>
      </c>
      <c r="AL6" s="4">
        <f t="shared" si="8"/>
        <v>971.15670614273233</v>
      </c>
      <c r="AM6" s="4">
        <f t="shared" si="8"/>
        <v>980.86827320415966</v>
      </c>
      <c r="AN6" s="4">
        <f t="shared" si="8"/>
        <v>990.67695593620124</v>
      </c>
      <c r="AO6" s="4">
        <f t="shared" si="8"/>
        <v>1000.5837254955633</v>
      </c>
    </row>
    <row r="7" spans="2:149" x14ac:dyDescent="0.3">
      <c r="B7" t="s">
        <v>23</v>
      </c>
      <c r="C7" s="4">
        <v>103.3</v>
      </c>
      <c r="D7" s="4">
        <f>V7-C7</f>
        <v>111.60000000000001</v>
      </c>
      <c r="E7" s="4">
        <v>107.8</v>
      </c>
      <c r="F7" s="4">
        <f>W7-E7</f>
        <v>124.50000000000001</v>
      </c>
      <c r="G7" s="4">
        <v>130.6</v>
      </c>
      <c r="H7" s="4">
        <f>X7-G7</f>
        <v>124.80000000000001</v>
      </c>
      <c r="I7" s="4">
        <v>131.4</v>
      </c>
      <c r="J7" s="4">
        <f>Y7-I7</f>
        <v>136.29999999999998</v>
      </c>
      <c r="K7" s="4">
        <v>110.5</v>
      </c>
      <c r="L7" s="4">
        <f>Z7-K7</f>
        <v>136.30000000000001</v>
      </c>
      <c r="M7" s="4">
        <v>158.4</v>
      </c>
      <c r="N7" s="12">
        <f>AA7-M7</f>
        <v>221.79999999999998</v>
      </c>
      <c r="O7" s="4">
        <v>195.3</v>
      </c>
      <c r="P7" s="12">
        <f>AB7-O7</f>
        <v>286.5</v>
      </c>
      <c r="Q7" s="4">
        <v>287.10000000000002</v>
      </c>
      <c r="R7" s="12">
        <f>AC7-Q7</f>
        <v>370.6</v>
      </c>
      <c r="S7" s="4">
        <v>313.60000000000002</v>
      </c>
      <c r="T7" s="4">
        <f>R7*1.09</f>
        <v>403.95400000000006</v>
      </c>
      <c r="V7" s="4">
        <v>214.9</v>
      </c>
      <c r="W7" s="4">
        <v>232.3</v>
      </c>
      <c r="X7" s="4">
        <v>255.4</v>
      </c>
      <c r="Y7" s="4">
        <v>267.7</v>
      </c>
      <c r="Z7" s="4">
        <v>246.8</v>
      </c>
      <c r="AA7" s="4">
        <v>380.2</v>
      </c>
      <c r="AB7" s="4">
        <v>481.8</v>
      </c>
      <c r="AC7" s="4">
        <v>657.7</v>
      </c>
      <c r="AD7" s="12">
        <f>SUM(S7:T7)</f>
        <v>717.55400000000009</v>
      </c>
      <c r="AE7" s="4">
        <f>AD7*1.05</f>
        <v>753.43170000000009</v>
      </c>
      <c r="AF7" s="4">
        <f>AE7*1.04</f>
        <v>783.56896800000015</v>
      </c>
      <c r="AG7" s="4">
        <f>AF7*1.03</f>
        <v>807.07603704000019</v>
      </c>
      <c r="AH7" s="4">
        <f>AG7*1.02</f>
        <v>823.21755778080023</v>
      </c>
      <c r="AI7" s="4">
        <f t="shared" ref="AI7" si="9">AH7*1.02</f>
        <v>839.68190893641622</v>
      </c>
      <c r="AJ7" s="4">
        <f>AI7*1.01</f>
        <v>848.07872802578038</v>
      </c>
      <c r="AK7" s="4">
        <f t="shared" ref="AK7:AO7" si="10">AJ7*1.01</f>
        <v>856.55951530603818</v>
      </c>
      <c r="AL7" s="4">
        <f t="shared" si="10"/>
        <v>865.12511045909855</v>
      </c>
      <c r="AM7" s="4">
        <f t="shared" si="10"/>
        <v>873.77636156368953</v>
      </c>
      <c r="AN7" s="4">
        <f t="shared" si="10"/>
        <v>882.51412517932647</v>
      </c>
      <c r="AO7" s="4">
        <f t="shared" si="10"/>
        <v>891.33926643111977</v>
      </c>
    </row>
    <row r="8" spans="2:149" x14ac:dyDescent="0.3">
      <c r="B8" t="s">
        <v>24</v>
      </c>
      <c r="C8" s="4">
        <v>-0.6</v>
      </c>
      <c r="D8" s="4">
        <f>V8-C8</f>
        <v>-0.50000000000000011</v>
      </c>
      <c r="E8" s="4">
        <f>0.1-0.5</f>
        <v>-0.4</v>
      </c>
      <c r="F8" s="4">
        <f>W8-E8</f>
        <v>0.50000000000000011</v>
      </c>
      <c r="G8" s="4">
        <f>-1.8-0.1</f>
        <v>-1.9000000000000001</v>
      </c>
      <c r="H8" s="4">
        <f>X8-G8</f>
        <v>0.40000000000000013</v>
      </c>
      <c r="I8" s="4">
        <f>3.2-0.1</f>
        <v>3.1</v>
      </c>
      <c r="J8" s="4">
        <f>Y8-I8</f>
        <v>-1.2000000000000002</v>
      </c>
      <c r="K8" s="4">
        <f>-0.4+0.3</f>
        <v>-0.10000000000000003</v>
      </c>
      <c r="L8" s="4">
        <f>Z8-K8</f>
        <v>0.90000000000000013</v>
      </c>
      <c r="M8" s="4">
        <f>-2.7+1.3</f>
        <v>-1.4000000000000001</v>
      </c>
      <c r="N8" s="12">
        <f>AA8-M8</f>
        <v>-5.8999999999999995</v>
      </c>
      <c r="O8" s="4">
        <f>1.4-2.7</f>
        <v>-1.3000000000000003</v>
      </c>
      <c r="P8" s="12">
        <f>AB8-O8</f>
        <v>3.3000000000000003</v>
      </c>
      <c r="Q8" s="4">
        <f>-13-4</f>
        <v>-17</v>
      </c>
      <c r="R8" s="12">
        <f>AC8-Q8</f>
        <v>-2.2000000000000028</v>
      </c>
      <c r="S8" s="4">
        <f>-3.3-1.9+14.5</f>
        <v>9.3000000000000007</v>
      </c>
      <c r="T8" s="4">
        <v>0</v>
      </c>
      <c r="V8" s="4">
        <f>-0.1-1</f>
        <v>-1.1000000000000001</v>
      </c>
      <c r="W8" s="4">
        <f>1.1-1</f>
        <v>0.10000000000000009</v>
      </c>
      <c r="X8" s="4">
        <f>-1.4-0.1</f>
        <v>-1.5</v>
      </c>
      <c r="Y8" s="4">
        <f>1.5+0.4</f>
        <v>1.9</v>
      </c>
      <c r="Z8" s="4">
        <f>1.3-0.5</f>
        <v>0.8</v>
      </c>
      <c r="AA8" s="4">
        <f>-2.5-4.8</f>
        <v>-7.3</v>
      </c>
      <c r="AB8" s="4">
        <f>16.3-14.3</f>
        <v>2</v>
      </c>
      <c r="AC8" s="4">
        <f>-12.3-6.9</f>
        <v>-19.200000000000003</v>
      </c>
      <c r="AD8" s="12">
        <f>SUM(S8:T8)</f>
        <v>9.3000000000000007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</row>
    <row r="9" spans="2:149" s="1" customFormat="1" x14ac:dyDescent="0.3">
      <c r="B9" s="1" t="s">
        <v>25</v>
      </c>
      <c r="C9" s="9">
        <f t="shared" ref="C9:P9" si="11">C5-C6-C7-C8</f>
        <v>360.50000000000006</v>
      </c>
      <c r="D9" s="9">
        <f t="shared" si="11"/>
        <v>467.2000000000005</v>
      </c>
      <c r="E9" s="9">
        <f t="shared" si="11"/>
        <v>325.19999999999976</v>
      </c>
      <c r="F9" s="9">
        <f t="shared" si="11"/>
        <v>434.70000000000005</v>
      </c>
      <c r="G9" s="9">
        <f t="shared" si="11"/>
        <v>330.50000000000011</v>
      </c>
      <c r="H9" s="9">
        <f t="shared" si="11"/>
        <v>510.59999999999985</v>
      </c>
      <c r="I9" s="9">
        <f t="shared" si="11"/>
        <v>380.80000000000007</v>
      </c>
      <c r="J9" s="9">
        <f t="shared" si="11"/>
        <v>473.09999999999997</v>
      </c>
      <c r="K9" s="9">
        <f t="shared" si="11"/>
        <v>34.1</v>
      </c>
      <c r="L9" s="9">
        <f t="shared" si="11"/>
        <v>410.39999999999992</v>
      </c>
      <c r="M9" s="9">
        <f t="shared" ref="M9:N9" si="12">M5-M6-M7-M8</f>
        <v>392.5</v>
      </c>
      <c r="N9" s="9">
        <f t="shared" si="12"/>
        <v>512.89999999999952</v>
      </c>
      <c r="O9" s="9">
        <f t="shared" si="11"/>
        <v>434.4</v>
      </c>
      <c r="P9" s="9">
        <f t="shared" si="11"/>
        <v>507.10000000000019</v>
      </c>
      <c r="Q9" s="9">
        <f t="shared" ref="Q9:T9" si="13">Q5-Q6-Q7-Q8</f>
        <v>452.49999999999989</v>
      </c>
      <c r="R9" s="9">
        <f t="shared" si="13"/>
        <v>535.40000000000009</v>
      </c>
      <c r="S9" s="9">
        <f t="shared" si="13"/>
        <v>475.59999999999997</v>
      </c>
      <c r="T9" s="9">
        <f t="shared" si="13"/>
        <v>501.75079999999991</v>
      </c>
      <c r="V9" s="9">
        <f t="shared" ref="V9:AC9" si="14">V5-V6-V7-V8</f>
        <v>827.7000000000005</v>
      </c>
      <c r="W9" s="9">
        <f t="shared" si="14"/>
        <v>759.89999999999975</v>
      </c>
      <c r="X9" s="9">
        <f t="shared" si="14"/>
        <v>841.1</v>
      </c>
      <c r="Y9" s="9">
        <f t="shared" si="14"/>
        <v>853.9</v>
      </c>
      <c r="Z9" s="9">
        <f t="shared" si="14"/>
        <v>444.50000000000011</v>
      </c>
      <c r="AA9" s="9">
        <f t="shared" si="14"/>
        <v>905.39999999999941</v>
      </c>
      <c r="AB9" s="9">
        <f t="shared" si="14"/>
        <v>941.50000000000023</v>
      </c>
      <c r="AC9" s="9">
        <f t="shared" si="14"/>
        <v>987.90000000000009</v>
      </c>
      <c r="AD9" s="9">
        <f t="shared" ref="AD9:AJ9" si="15">AD5-AD6-AD7-AD8</f>
        <v>977.35080000000016</v>
      </c>
      <c r="AE9" s="9">
        <f t="shared" si="15"/>
        <v>1131.2511</v>
      </c>
      <c r="AF9" s="9">
        <f t="shared" si="15"/>
        <v>1157.6543160000001</v>
      </c>
      <c r="AG9" s="9">
        <f t="shared" si="15"/>
        <v>1172.9717126400001</v>
      </c>
      <c r="AH9" s="9">
        <f t="shared" si="15"/>
        <v>1176.6306693959996</v>
      </c>
      <c r="AI9" s="9">
        <f t="shared" si="15"/>
        <v>1180.1648005121517</v>
      </c>
      <c r="AJ9" s="9">
        <f t="shared" si="15"/>
        <v>1191.9664485172734</v>
      </c>
      <c r="AK9" s="9">
        <f t="shared" ref="AK9:AO9" si="16">AK5-AK6-AK7-AK8</f>
        <v>1203.8861130024461</v>
      </c>
      <c r="AL9" s="9">
        <f t="shared" si="16"/>
        <v>1215.9249741324709</v>
      </c>
      <c r="AM9" s="9">
        <f t="shared" si="16"/>
        <v>1228.0842238737951</v>
      </c>
      <c r="AN9" s="9">
        <f t="shared" si="16"/>
        <v>1240.365066112533</v>
      </c>
      <c r="AO9" s="9">
        <f t="shared" si="16"/>
        <v>1252.7687167736583</v>
      </c>
    </row>
    <row r="10" spans="2:149" x14ac:dyDescent="0.3">
      <c r="B10" t="s">
        <v>26</v>
      </c>
      <c r="C10" s="4">
        <v>-0.1</v>
      </c>
      <c r="D10" s="4">
        <f>V10-C10</f>
        <v>-0.19999999999999998</v>
      </c>
      <c r="E10" s="4">
        <v>-1.1000000000000001</v>
      </c>
      <c r="F10" s="4">
        <f>W10-E10</f>
        <v>2.4000000000000004</v>
      </c>
      <c r="G10" s="4">
        <v>-0.1</v>
      </c>
      <c r="H10" s="4">
        <f>X10-G10</f>
        <v>-0.30000000000000004</v>
      </c>
      <c r="I10" s="4">
        <v>-0.1</v>
      </c>
      <c r="J10" s="4">
        <f>Y10-I10</f>
        <v>-0.1</v>
      </c>
      <c r="K10" s="4">
        <v>-0.2</v>
      </c>
      <c r="L10" s="4">
        <f>Z10-K10</f>
        <v>-0.39999999999999997</v>
      </c>
      <c r="M10" s="4">
        <v>-1.9</v>
      </c>
      <c r="N10" s="12">
        <f>AA10-M10</f>
        <v>-2.3000000000000003</v>
      </c>
      <c r="O10" s="4">
        <v>-2.7</v>
      </c>
      <c r="P10" s="12">
        <f>AB10-O10</f>
        <v>-3</v>
      </c>
      <c r="Q10" s="4">
        <v>-4.0999999999999996</v>
      </c>
      <c r="R10" s="12">
        <f t="shared" ref="R10:R11" si="17">AC10-Q10</f>
        <v>-111.3</v>
      </c>
      <c r="S10" s="4">
        <v>-4.0999999999999996</v>
      </c>
      <c r="T10" s="4">
        <v>-4</v>
      </c>
      <c r="V10" s="4">
        <v>-0.3</v>
      </c>
      <c r="W10" s="4">
        <v>1.3</v>
      </c>
      <c r="X10" s="4">
        <v>-0.4</v>
      </c>
      <c r="Y10" s="4">
        <v>-0.2</v>
      </c>
      <c r="Z10" s="4">
        <f>-0.6</f>
        <v>-0.6</v>
      </c>
      <c r="AA10" s="4">
        <f>-4.2</f>
        <v>-4.2</v>
      </c>
      <c r="AB10" s="4">
        <f>-5.7</f>
        <v>-5.7</v>
      </c>
      <c r="AC10" s="4">
        <f>-108.6-6.8</f>
        <v>-115.39999999999999</v>
      </c>
      <c r="AD10" s="12">
        <f>SUM(S10:T10)</f>
        <v>-8.1</v>
      </c>
      <c r="AE10" s="4">
        <f>AD10*1.03</f>
        <v>-8.343</v>
      </c>
      <c r="AF10" s="4">
        <f t="shared" ref="AF10:AO10" si="18">AE10*1.03</f>
        <v>-8.5932899999999997</v>
      </c>
      <c r="AG10" s="4">
        <f t="shared" si="18"/>
        <v>-8.8510887</v>
      </c>
      <c r="AH10" s="4">
        <f t="shared" si="18"/>
        <v>-9.116621361</v>
      </c>
      <c r="AI10" s="4">
        <f t="shared" si="18"/>
        <v>-9.3901200018300006</v>
      </c>
      <c r="AJ10" s="4">
        <f t="shared" si="18"/>
        <v>-9.6718236018849009</v>
      </c>
      <c r="AK10" s="4">
        <f t="shared" si="18"/>
        <v>-9.9619783099414487</v>
      </c>
      <c r="AL10" s="4">
        <f t="shared" si="18"/>
        <v>-10.260837659239693</v>
      </c>
      <c r="AM10" s="4">
        <f t="shared" si="18"/>
        <v>-10.568662789016884</v>
      </c>
      <c r="AN10" s="4">
        <f t="shared" si="18"/>
        <v>-10.88572267268739</v>
      </c>
      <c r="AO10" s="4">
        <f t="shared" si="18"/>
        <v>-11.212294352868012</v>
      </c>
    </row>
    <row r="11" spans="2:149" x14ac:dyDescent="0.3">
      <c r="B11" t="s">
        <v>27</v>
      </c>
      <c r="C11" s="4">
        <v>18.5</v>
      </c>
      <c r="D11" s="4">
        <f>V11-C11</f>
        <v>19.299999999999997</v>
      </c>
      <c r="E11" s="4">
        <v>16.899999999999999</v>
      </c>
      <c r="F11" s="4">
        <f>W11-E11</f>
        <v>18.200000000000003</v>
      </c>
      <c r="G11" s="4">
        <v>19.5</v>
      </c>
      <c r="H11" s="4">
        <f>X11-G11</f>
        <v>88.4</v>
      </c>
      <c r="I11" s="4">
        <v>53.5</v>
      </c>
      <c r="J11" s="4">
        <f>Y11-I11</f>
        <v>52.099999999999994</v>
      </c>
      <c r="K11" s="4">
        <v>50.8</v>
      </c>
      <c r="L11" s="4">
        <f>Z11-K11</f>
        <v>51.900000000000006</v>
      </c>
      <c r="M11" s="4">
        <v>47.7</v>
      </c>
      <c r="N11" s="12">
        <f>AA11-M11</f>
        <v>38.799999999999997</v>
      </c>
      <c r="O11" s="4">
        <v>36.5</v>
      </c>
      <c r="P11" s="12">
        <f>AB11-O11</f>
        <v>41.400000000000006</v>
      </c>
      <c r="Q11" s="4">
        <v>40.9</v>
      </c>
      <c r="R11" s="12">
        <f t="shared" si="17"/>
        <v>46.6</v>
      </c>
      <c r="S11" s="4">
        <v>47.7</v>
      </c>
      <c r="T11" s="4">
        <v>48</v>
      </c>
      <c r="V11" s="4">
        <v>37.799999999999997</v>
      </c>
      <c r="W11" s="4">
        <v>35.1</v>
      </c>
      <c r="X11" s="4">
        <v>107.9</v>
      </c>
      <c r="Y11" s="4">
        <v>105.6</v>
      </c>
      <c r="Z11" s="4">
        <v>102.7</v>
      </c>
      <c r="AA11" s="4">
        <v>86.5</v>
      </c>
      <c r="AB11" s="4">
        <v>77.900000000000006</v>
      </c>
      <c r="AC11" s="4">
        <v>87.5</v>
      </c>
      <c r="AD11" s="12">
        <f>SUM(S11:T11)</f>
        <v>95.7</v>
      </c>
      <c r="AE11" s="4">
        <f>AD11*0.98</f>
        <v>93.786000000000001</v>
      </c>
      <c r="AF11" s="4">
        <f t="shared" ref="AF11:AO11" si="19">AE11*0.98</f>
        <v>91.91028</v>
      </c>
      <c r="AG11" s="4">
        <f t="shared" si="19"/>
        <v>90.072074400000005</v>
      </c>
      <c r="AH11" s="4">
        <f t="shared" si="19"/>
        <v>88.270632912000011</v>
      </c>
      <c r="AI11" s="4">
        <f t="shared" si="19"/>
        <v>86.505220253760015</v>
      </c>
      <c r="AJ11" s="4">
        <f t="shared" si="19"/>
        <v>84.77511584868482</v>
      </c>
      <c r="AK11" s="4">
        <f t="shared" si="19"/>
        <v>83.079613531711118</v>
      </c>
      <c r="AL11" s="4">
        <f t="shared" si="19"/>
        <v>81.418021261076888</v>
      </c>
      <c r="AM11" s="4">
        <f t="shared" si="19"/>
        <v>79.789660835855344</v>
      </c>
      <c r="AN11" s="4">
        <f t="shared" si="19"/>
        <v>78.193867619138231</v>
      </c>
      <c r="AO11" s="4">
        <f t="shared" si="19"/>
        <v>76.62999026675547</v>
      </c>
    </row>
    <row r="12" spans="2:149" s="1" customFormat="1" x14ac:dyDescent="0.3">
      <c r="B12" s="1" t="s">
        <v>28</v>
      </c>
      <c r="C12" s="9">
        <f t="shared" ref="C12:P12" si="20">C9-C10-C11</f>
        <v>342.10000000000008</v>
      </c>
      <c r="D12" s="9">
        <f t="shared" si="20"/>
        <v>448.10000000000048</v>
      </c>
      <c r="E12" s="9">
        <f t="shared" si="20"/>
        <v>309.39999999999981</v>
      </c>
      <c r="F12" s="9">
        <f t="shared" si="20"/>
        <v>414.10000000000008</v>
      </c>
      <c r="G12" s="9">
        <f t="shared" si="20"/>
        <v>311.10000000000014</v>
      </c>
      <c r="H12" s="9">
        <f t="shared" si="20"/>
        <v>422.49999999999989</v>
      </c>
      <c r="I12" s="9">
        <f t="shared" si="20"/>
        <v>327.40000000000009</v>
      </c>
      <c r="J12" s="9">
        <f t="shared" si="20"/>
        <v>421.1</v>
      </c>
      <c r="K12" s="9">
        <f t="shared" si="20"/>
        <v>-16.499999999999993</v>
      </c>
      <c r="L12" s="9">
        <f t="shared" si="20"/>
        <v>358.89999999999986</v>
      </c>
      <c r="M12" s="9">
        <f t="shared" ref="M12:N12" si="21">M9-M10-M11</f>
        <v>346.7</v>
      </c>
      <c r="N12" s="9">
        <f t="shared" si="21"/>
        <v>476.39999999999947</v>
      </c>
      <c r="O12" s="9">
        <f t="shared" si="20"/>
        <v>400.59999999999997</v>
      </c>
      <c r="P12" s="9">
        <f t="shared" si="20"/>
        <v>468.70000000000016</v>
      </c>
      <c r="Q12" s="9">
        <f t="shared" ref="Q12:T12" si="22">Q9-Q10-Q11</f>
        <v>415.69999999999993</v>
      </c>
      <c r="R12" s="9">
        <f t="shared" si="22"/>
        <v>600.1</v>
      </c>
      <c r="S12" s="9">
        <f t="shared" si="22"/>
        <v>432</v>
      </c>
      <c r="T12" s="9">
        <f t="shared" si="22"/>
        <v>457.75079999999991</v>
      </c>
      <c r="V12" s="9">
        <f t="shared" ref="V12:AC12" si="23">V9-V10-V11</f>
        <v>790.2000000000005</v>
      </c>
      <c r="W12" s="9">
        <f t="shared" si="23"/>
        <v>723.49999999999977</v>
      </c>
      <c r="X12" s="9">
        <f t="shared" si="23"/>
        <v>733.6</v>
      </c>
      <c r="Y12" s="9">
        <f t="shared" si="23"/>
        <v>748.5</v>
      </c>
      <c r="Z12" s="9">
        <f t="shared" si="23"/>
        <v>342.40000000000015</v>
      </c>
      <c r="AA12" s="9">
        <f t="shared" si="23"/>
        <v>823.09999999999945</v>
      </c>
      <c r="AB12" s="9">
        <f t="shared" si="23"/>
        <v>869.3000000000003</v>
      </c>
      <c r="AC12" s="9">
        <f t="shared" si="23"/>
        <v>1015.8000000000002</v>
      </c>
      <c r="AD12" s="9">
        <f t="shared" ref="AD12:AJ12" si="24">AD9-AD10-AD11</f>
        <v>889.75080000000014</v>
      </c>
      <c r="AE12" s="9">
        <f t="shared" si="24"/>
        <v>1045.8081</v>
      </c>
      <c r="AF12" s="9">
        <f t="shared" si="24"/>
        <v>1074.3373260000001</v>
      </c>
      <c r="AG12" s="9">
        <f t="shared" si="24"/>
        <v>1091.75072694</v>
      </c>
      <c r="AH12" s="9">
        <f t="shared" si="24"/>
        <v>1097.4766578449994</v>
      </c>
      <c r="AI12" s="9">
        <f t="shared" si="24"/>
        <v>1103.0497002602217</v>
      </c>
      <c r="AJ12" s="9">
        <f t="shared" si="24"/>
        <v>1116.8631562704734</v>
      </c>
      <c r="AK12" s="9">
        <f t="shared" ref="AK12:AO12" si="25">AK9-AK10-AK11</f>
        <v>1130.7684777806764</v>
      </c>
      <c r="AL12" s="9">
        <f t="shared" si="25"/>
        <v>1144.7677905306336</v>
      </c>
      <c r="AM12" s="9">
        <f t="shared" si="25"/>
        <v>1158.8632258269565</v>
      </c>
      <c r="AN12" s="9">
        <f t="shared" si="25"/>
        <v>1173.056921166082</v>
      </c>
      <c r="AO12" s="9">
        <f t="shared" si="25"/>
        <v>1187.3510208597709</v>
      </c>
    </row>
    <row r="13" spans="2:149" x14ac:dyDescent="0.3">
      <c r="B13" t="s">
        <v>29</v>
      </c>
      <c r="C13" s="4">
        <v>68.599999999999994</v>
      </c>
      <c r="D13" s="4">
        <f>V13-C13</f>
        <v>86.300000000000011</v>
      </c>
      <c r="E13" s="4">
        <v>57.2</v>
      </c>
      <c r="F13" s="4">
        <f>W13-E13</f>
        <v>77.100000000000009</v>
      </c>
      <c r="G13" s="4">
        <v>56.9</v>
      </c>
      <c r="H13" s="4">
        <f>X13-G13</f>
        <v>77.599999999999994</v>
      </c>
      <c r="I13" s="4">
        <v>60.5</v>
      </c>
      <c r="J13" s="4">
        <f>Y13-I13</f>
        <v>77.800000000000011</v>
      </c>
      <c r="K13" s="4">
        <v>-5</v>
      </c>
      <c r="L13" s="4">
        <f>Z13-K13</f>
        <v>60.7</v>
      </c>
      <c r="M13" s="4">
        <v>57.1</v>
      </c>
      <c r="N13" s="12">
        <f>AA13-M13</f>
        <v>88.5</v>
      </c>
      <c r="O13" s="4">
        <v>72.099999999999994</v>
      </c>
      <c r="P13" s="12">
        <f>AB13-O13</f>
        <v>86.5</v>
      </c>
      <c r="Q13" s="4">
        <v>97.4</v>
      </c>
      <c r="R13" s="12">
        <f t="shared" ref="R13:R14" si="26">AC13-Q13</f>
        <v>117.9</v>
      </c>
      <c r="S13" s="4">
        <v>106.7</v>
      </c>
      <c r="T13" s="4">
        <f>T12*0.22</f>
        <v>100.70517599999998</v>
      </c>
      <c r="V13" s="4">
        <v>154.9</v>
      </c>
      <c r="W13" s="4">
        <v>134.30000000000001</v>
      </c>
      <c r="X13" s="4">
        <v>134.5</v>
      </c>
      <c r="Y13" s="4">
        <v>138.30000000000001</v>
      </c>
      <c r="Z13" s="4">
        <v>55.7</v>
      </c>
      <c r="AA13" s="4">
        <v>145.6</v>
      </c>
      <c r="AB13" s="4">
        <v>158.6</v>
      </c>
      <c r="AC13" s="4">
        <v>215.3</v>
      </c>
      <c r="AD13" s="12">
        <f>SUM(S13:T13)</f>
        <v>207.40517599999998</v>
      </c>
      <c r="AE13" s="4">
        <f>AE12*0.22</f>
        <v>230.07778199999998</v>
      </c>
      <c r="AF13" s="4">
        <f t="shared" ref="AF13:AO13" si="27">AF12*0.22</f>
        <v>236.35421172000002</v>
      </c>
      <c r="AG13" s="4">
        <f t="shared" si="27"/>
        <v>240.18515992680003</v>
      </c>
      <c r="AH13" s="4">
        <f t="shared" si="27"/>
        <v>241.44486472589986</v>
      </c>
      <c r="AI13" s="4">
        <f t="shared" si="27"/>
        <v>242.67093405724879</v>
      </c>
      <c r="AJ13" s="4">
        <f t="shared" si="27"/>
        <v>245.70989437950414</v>
      </c>
      <c r="AK13" s="4">
        <f t="shared" si="27"/>
        <v>248.76906511174883</v>
      </c>
      <c r="AL13" s="4">
        <f t="shared" si="27"/>
        <v>251.84891391673941</v>
      </c>
      <c r="AM13" s="4">
        <f t="shared" si="27"/>
        <v>254.94990968193045</v>
      </c>
      <c r="AN13" s="4">
        <f t="shared" si="27"/>
        <v>258.07252265653807</v>
      </c>
      <c r="AO13" s="4">
        <f t="shared" si="27"/>
        <v>261.21722458914957</v>
      </c>
    </row>
    <row r="14" spans="2:149" x14ac:dyDescent="0.3">
      <c r="B14" t="s">
        <v>58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>
        <v>0</v>
      </c>
      <c r="N14" s="12">
        <f>AA14-M14</f>
        <v>0</v>
      </c>
      <c r="O14" s="4">
        <v>0</v>
      </c>
      <c r="P14" s="12">
        <f>AB14-O14</f>
        <v>-1</v>
      </c>
      <c r="Q14" s="4">
        <v>-3.5</v>
      </c>
      <c r="R14" s="12">
        <f t="shared" si="26"/>
        <v>1.7</v>
      </c>
      <c r="S14" s="4">
        <v>2.5</v>
      </c>
      <c r="T14" s="4">
        <v>3</v>
      </c>
      <c r="V14" s="4"/>
      <c r="W14" s="4"/>
      <c r="X14" s="4"/>
      <c r="Y14" s="4"/>
      <c r="Z14" s="4"/>
      <c r="AA14" s="4">
        <v>0</v>
      </c>
      <c r="AB14" s="4">
        <v>-1</v>
      </c>
      <c r="AC14" s="4">
        <v>-1.8</v>
      </c>
      <c r="AD14" s="12">
        <f>SUM(S14:T14)</f>
        <v>5.5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</row>
    <row r="15" spans="2:149" s="1" customFormat="1" x14ac:dyDescent="0.3">
      <c r="B15" s="1" t="s">
        <v>30</v>
      </c>
      <c r="C15" s="9">
        <f t="shared" ref="C15:R15" si="28">C12-C13-C14</f>
        <v>273.50000000000011</v>
      </c>
      <c r="D15" s="9">
        <f t="shared" si="28"/>
        <v>361.80000000000047</v>
      </c>
      <c r="E15" s="9">
        <f t="shared" si="28"/>
        <v>252.19999999999982</v>
      </c>
      <c r="F15" s="9">
        <f t="shared" si="28"/>
        <v>337.00000000000006</v>
      </c>
      <c r="G15" s="9">
        <f t="shared" si="28"/>
        <v>254.20000000000013</v>
      </c>
      <c r="H15" s="9">
        <f t="shared" si="28"/>
        <v>344.89999999999986</v>
      </c>
      <c r="I15" s="9">
        <f t="shared" si="28"/>
        <v>266.90000000000009</v>
      </c>
      <c r="J15" s="9">
        <f t="shared" si="28"/>
        <v>343.3</v>
      </c>
      <c r="K15" s="9">
        <f t="shared" si="28"/>
        <v>-11.499999999999993</v>
      </c>
      <c r="L15" s="9">
        <f t="shared" si="28"/>
        <v>298.19999999999987</v>
      </c>
      <c r="M15" s="9">
        <f>M12-M13-M14</f>
        <v>289.59999999999997</v>
      </c>
      <c r="N15" s="9">
        <f t="shared" si="28"/>
        <v>387.89999999999947</v>
      </c>
      <c r="O15" s="9">
        <f>O12-O13-O14</f>
        <v>328.5</v>
      </c>
      <c r="P15" s="9">
        <f t="shared" si="28"/>
        <v>383.20000000000016</v>
      </c>
      <c r="Q15" s="9">
        <f>Q12-Q13-Q14</f>
        <v>321.79999999999995</v>
      </c>
      <c r="R15" s="9">
        <f t="shared" si="28"/>
        <v>480.50000000000006</v>
      </c>
      <c r="S15" s="9">
        <f>S12-S13-S14</f>
        <v>322.8</v>
      </c>
      <c r="T15" s="9">
        <f>T12-T13-T14</f>
        <v>354.04562399999992</v>
      </c>
      <c r="V15" s="9">
        <f>V12-V13</f>
        <v>635.30000000000052</v>
      </c>
      <c r="W15" s="9">
        <f>W12-W13</f>
        <v>589.19999999999982</v>
      </c>
      <c r="X15" s="9">
        <f>X12-X13</f>
        <v>599.1</v>
      </c>
      <c r="Y15" s="9">
        <f>Y12-Y13</f>
        <v>610.20000000000005</v>
      </c>
      <c r="Z15" s="9">
        <f t="shared" ref="Z15" si="29">Z12-Z13-Z14</f>
        <v>286.70000000000016</v>
      </c>
      <c r="AA15" s="9">
        <f>AA12-AA13-AA14</f>
        <v>677.49999999999943</v>
      </c>
      <c r="AB15" s="9">
        <f>AB12-AB13-AB14</f>
        <v>711.70000000000027</v>
      </c>
      <c r="AC15" s="9">
        <f>AC12-AC13-AC14</f>
        <v>802.30000000000018</v>
      </c>
      <c r="AD15" s="9">
        <f t="shared" ref="AD15:AO15" si="30">AD12-AD13-AD14</f>
        <v>676.84562400000016</v>
      </c>
      <c r="AE15" s="9">
        <f t="shared" si="30"/>
        <v>815.73031800000001</v>
      </c>
      <c r="AF15" s="9">
        <f t="shared" si="30"/>
        <v>837.98311428000011</v>
      </c>
      <c r="AG15" s="9">
        <f t="shared" si="30"/>
        <v>851.56556701320005</v>
      </c>
      <c r="AH15" s="9">
        <f t="shared" si="30"/>
        <v>856.03179311909958</v>
      </c>
      <c r="AI15" s="9">
        <f t="shared" si="30"/>
        <v>860.37876620297288</v>
      </c>
      <c r="AJ15" s="9">
        <f t="shared" si="30"/>
        <v>871.15326189096925</v>
      </c>
      <c r="AK15" s="9">
        <f t="shared" si="30"/>
        <v>881.99941266892756</v>
      </c>
      <c r="AL15" s="9">
        <f t="shared" si="30"/>
        <v>892.91887661389421</v>
      </c>
      <c r="AM15" s="9">
        <f t="shared" si="30"/>
        <v>903.9133161450261</v>
      </c>
      <c r="AN15" s="9">
        <f t="shared" si="30"/>
        <v>914.98439850954401</v>
      </c>
      <c r="AO15" s="9">
        <f t="shared" si="30"/>
        <v>926.13379627062136</v>
      </c>
      <c r="AP15" s="1">
        <f>AO15*(1+$AR$21)</f>
        <v>916.87245830791517</v>
      </c>
      <c r="AQ15" s="1">
        <f t="shared" ref="AQ15:DB15" si="31">AP15*(1+$AR$21)</f>
        <v>907.70373372483596</v>
      </c>
      <c r="AR15" s="1">
        <f t="shared" si="31"/>
        <v>898.62669638758757</v>
      </c>
      <c r="AS15" s="1">
        <f t="shared" si="31"/>
        <v>889.64042942371168</v>
      </c>
      <c r="AT15" s="1">
        <f t="shared" si="31"/>
        <v>880.74402512947461</v>
      </c>
      <c r="AU15" s="1">
        <f t="shared" si="31"/>
        <v>871.93658487817981</v>
      </c>
      <c r="AV15" s="1">
        <f t="shared" si="31"/>
        <v>863.21721902939805</v>
      </c>
      <c r="AW15" s="1">
        <f t="shared" si="31"/>
        <v>854.58504683910405</v>
      </c>
      <c r="AX15" s="1">
        <f t="shared" si="31"/>
        <v>846.03919637071306</v>
      </c>
      <c r="AY15" s="1">
        <f t="shared" si="31"/>
        <v>837.57880440700592</v>
      </c>
      <c r="AZ15" s="1">
        <f t="shared" si="31"/>
        <v>829.20301636293584</v>
      </c>
      <c r="BA15" s="1">
        <f t="shared" si="31"/>
        <v>820.91098619930642</v>
      </c>
      <c r="BB15" s="1">
        <f t="shared" si="31"/>
        <v>812.70187633731337</v>
      </c>
      <c r="BC15" s="1">
        <f t="shared" si="31"/>
        <v>804.57485757394022</v>
      </c>
      <c r="BD15" s="1">
        <f t="shared" si="31"/>
        <v>796.52910899820085</v>
      </c>
      <c r="BE15" s="1">
        <f t="shared" si="31"/>
        <v>788.56381790821888</v>
      </c>
      <c r="BF15" s="1">
        <f t="shared" si="31"/>
        <v>780.67817972913667</v>
      </c>
      <c r="BG15" s="1">
        <f t="shared" si="31"/>
        <v>772.87139793184531</v>
      </c>
      <c r="BH15" s="1">
        <f t="shared" si="31"/>
        <v>765.1426839525268</v>
      </c>
      <c r="BI15" s="1">
        <f t="shared" si="31"/>
        <v>757.49125711300155</v>
      </c>
      <c r="BJ15" s="1">
        <f t="shared" si="31"/>
        <v>749.91634454187158</v>
      </c>
      <c r="BK15" s="1">
        <f t="shared" si="31"/>
        <v>742.41718109645285</v>
      </c>
      <c r="BL15" s="1">
        <f t="shared" si="31"/>
        <v>734.99300928548837</v>
      </c>
      <c r="BM15" s="1">
        <f t="shared" si="31"/>
        <v>727.64307919263354</v>
      </c>
      <c r="BN15" s="1">
        <f t="shared" si="31"/>
        <v>720.36664840070716</v>
      </c>
      <c r="BO15" s="1">
        <f t="shared" si="31"/>
        <v>713.16298191670012</v>
      </c>
      <c r="BP15" s="1">
        <f t="shared" si="31"/>
        <v>706.03135209753316</v>
      </c>
      <c r="BQ15" s="1">
        <f t="shared" si="31"/>
        <v>698.97103857655782</v>
      </c>
      <c r="BR15" s="1">
        <f t="shared" si="31"/>
        <v>691.98132819079228</v>
      </c>
      <c r="BS15" s="1">
        <f t="shared" si="31"/>
        <v>685.06151490888431</v>
      </c>
      <c r="BT15" s="1">
        <f t="shared" si="31"/>
        <v>678.21089975979544</v>
      </c>
      <c r="BU15" s="1">
        <f t="shared" si="31"/>
        <v>671.42879076219742</v>
      </c>
      <c r="BV15" s="1">
        <f t="shared" si="31"/>
        <v>664.71450285457547</v>
      </c>
      <c r="BW15" s="1">
        <f t="shared" si="31"/>
        <v>658.06735782602971</v>
      </c>
      <c r="BX15" s="1">
        <f t="shared" si="31"/>
        <v>651.4866842477694</v>
      </c>
      <c r="BY15" s="1">
        <f t="shared" si="31"/>
        <v>644.97181740529174</v>
      </c>
      <c r="BZ15" s="1">
        <f t="shared" si="31"/>
        <v>638.52209923123883</v>
      </c>
      <c r="CA15" s="1">
        <f t="shared" si="31"/>
        <v>632.13687823892644</v>
      </c>
      <c r="CB15" s="1">
        <f t="shared" si="31"/>
        <v>625.81550945653714</v>
      </c>
      <c r="CC15" s="1">
        <f t="shared" si="31"/>
        <v>619.55735436197176</v>
      </c>
      <c r="CD15" s="1">
        <f t="shared" si="31"/>
        <v>613.36178081835203</v>
      </c>
      <c r="CE15" s="1">
        <f t="shared" si="31"/>
        <v>607.22816301016849</v>
      </c>
      <c r="CF15" s="1">
        <f t="shared" si="31"/>
        <v>601.15588138006683</v>
      </c>
      <c r="CG15" s="1">
        <f t="shared" si="31"/>
        <v>595.14432256626617</v>
      </c>
      <c r="CH15" s="1">
        <f t="shared" si="31"/>
        <v>589.19287934060355</v>
      </c>
      <c r="CI15" s="1">
        <f t="shared" si="31"/>
        <v>583.30095054719754</v>
      </c>
      <c r="CJ15" s="1">
        <f t="shared" si="31"/>
        <v>577.46794104172557</v>
      </c>
      <c r="CK15" s="1">
        <f t="shared" si="31"/>
        <v>571.69326163130836</v>
      </c>
      <c r="CL15" s="1">
        <f t="shared" si="31"/>
        <v>565.97632901499526</v>
      </c>
      <c r="CM15" s="1">
        <f t="shared" si="31"/>
        <v>560.3165657248453</v>
      </c>
      <c r="CN15" s="1">
        <f t="shared" si="31"/>
        <v>554.71340006759681</v>
      </c>
      <c r="CO15" s="1">
        <f t="shared" si="31"/>
        <v>549.1662660669208</v>
      </c>
      <c r="CP15" s="1">
        <f t="shared" si="31"/>
        <v>543.67460340625155</v>
      </c>
      <c r="CQ15" s="1">
        <f t="shared" si="31"/>
        <v>538.23785737218907</v>
      </c>
      <c r="CR15" s="1">
        <f t="shared" si="31"/>
        <v>532.85547879846717</v>
      </c>
      <c r="CS15" s="1">
        <f t="shared" si="31"/>
        <v>527.5269240104825</v>
      </c>
      <c r="CT15" s="1">
        <f t="shared" si="31"/>
        <v>522.25165477037763</v>
      </c>
      <c r="CU15" s="1">
        <f t="shared" si="31"/>
        <v>517.02913822267385</v>
      </c>
      <c r="CV15" s="1">
        <f t="shared" si="31"/>
        <v>511.85884684044709</v>
      </c>
      <c r="CW15" s="1">
        <f t="shared" si="31"/>
        <v>506.7402583720426</v>
      </c>
      <c r="CX15" s="1">
        <f t="shared" si="31"/>
        <v>501.67285578832218</v>
      </c>
      <c r="CY15" s="1">
        <f t="shared" si="31"/>
        <v>496.65612723043898</v>
      </c>
      <c r="CZ15" s="1">
        <f t="shared" si="31"/>
        <v>491.68956595813461</v>
      </c>
      <c r="DA15" s="1">
        <f t="shared" si="31"/>
        <v>486.77267029855324</v>
      </c>
      <c r="DB15" s="1">
        <f t="shared" si="31"/>
        <v>481.90494359556772</v>
      </c>
      <c r="DC15" s="1">
        <f t="shared" ref="DC15:ES15" si="32">DB15*(1+$AR$21)</f>
        <v>477.08589415961205</v>
      </c>
      <c r="DD15" s="1">
        <f t="shared" si="32"/>
        <v>472.31503521801591</v>
      </c>
      <c r="DE15" s="1">
        <f t="shared" si="32"/>
        <v>467.59188486583577</v>
      </c>
      <c r="DF15" s="1">
        <f t="shared" si="32"/>
        <v>462.91596601717742</v>
      </c>
      <c r="DG15" s="1">
        <f t="shared" si="32"/>
        <v>458.28680635700567</v>
      </c>
      <c r="DH15" s="1">
        <f t="shared" si="32"/>
        <v>453.70393829343561</v>
      </c>
      <c r="DI15" s="1">
        <f t="shared" si="32"/>
        <v>449.16689891050123</v>
      </c>
      <c r="DJ15" s="1">
        <f t="shared" si="32"/>
        <v>444.67522992139624</v>
      </c>
      <c r="DK15" s="1">
        <f t="shared" si="32"/>
        <v>440.22847762218225</v>
      </c>
      <c r="DL15" s="1">
        <f t="shared" si="32"/>
        <v>435.82619284596041</v>
      </c>
      <c r="DM15" s="1">
        <f t="shared" si="32"/>
        <v>431.46793091750078</v>
      </c>
      <c r="DN15" s="1">
        <f t="shared" si="32"/>
        <v>427.15325160832577</v>
      </c>
      <c r="DO15" s="1">
        <f t="shared" si="32"/>
        <v>422.88171909224252</v>
      </c>
      <c r="DP15" s="1">
        <f t="shared" si="32"/>
        <v>418.65290190132009</v>
      </c>
      <c r="DQ15" s="1">
        <f t="shared" si="32"/>
        <v>414.46637288230687</v>
      </c>
      <c r="DR15" s="1">
        <f t="shared" si="32"/>
        <v>410.32170915348382</v>
      </c>
      <c r="DS15" s="1">
        <f t="shared" si="32"/>
        <v>406.21849206194901</v>
      </c>
      <c r="DT15" s="1">
        <f t="shared" si="32"/>
        <v>402.15630714132953</v>
      </c>
      <c r="DU15" s="1">
        <f t="shared" si="32"/>
        <v>398.13474406991622</v>
      </c>
      <c r="DV15" s="1">
        <f t="shared" si="32"/>
        <v>394.15339662921707</v>
      </c>
      <c r="DW15" s="1">
        <f t="shared" si="32"/>
        <v>390.21186266292489</v>
      </c>
      <c r="DX15" s="1">
        <f t="shared" si="32"/>
        <v>386.30974403629563</v>
      </c>
      <c r="DY15" s="1">
        <f t="shared" si="32"/>
        <v>382.44664659593269</v>
      </c>
      <c r="DZ15" s="1">
        <f t="shared" si="32"/>
        <v>378.62218012997334</v>
      </c>
      <c r="EA15" s="1">
        <f t="shared" si="32"/>
        <v>374.8359583286736</v>
      </c>
      <c r="EB15" s="1">
        <f t="shared" si="32"/>
        <v>371.08759874538686</v>
      </c>
      <c r="EC15" s="1">
        <f t="shared" si="32"/>
        <v>367.37672275793301</v>
      </c>
      <c r="ED15" s="1">
        <f t="shared" si="32"/>
        <v>363.70295553035368</v>
      </c>
      <c r="EE15" s="1">
        <f t="shared" si="32"/>
        <v>360.06592597505016</v>
      </c>
      <c r="EF15" s="1">
        <f t="shared" si="32"/>
        <v>356.46526671529966</v>
      </c>
      <c r="EG15" s="1">
        <f t="shared" si="32"/>
        <v>352.90061404814668</v>
      </c>
      <c r="EH15" s="1">
        <f t="shared" si="32"/>
        <v>349.37160790766524</v>
      </c>
      <c r="EI15" s="1">
        <f t="shared" si="32"/>
        <v>345.87789182858859</v>
      </c>
      <c r="EJ15" s="1">
        <f t="shared" si="32"/>
        <v>342.41911291030272</v>
      </c>
      <c r="EK15" s="1">
        <f t="shared" si="32"/>
        <v>338.99492178119971</v>
      </c>
      <c r="EL15" s="1">
        <f t="shared" si="32"/>
        <v>335.60497256338772</v>
      </c>
      <c r="EM15" s="1">
        <f t="shared" si="32"/>
        <v>332.24892283775387</v>
      </c>
      <c r="EN15" s="1">
        <f t="shared" si="32"/>
        <v>328.92643360937632</v>
      </c>
      <c r="EO15" s="1">
        <f t="shared" si="32"/>
        <v>325.63716927328255</v>
      </c>
      <c r="EP15" s="1">
        <f t="shared" si="32"/>
        <v>322.38079758054971</v>
      </c>
      <c r="EQ15" s="1">
        <f t="shared" si="32"/>
        <v>319.15698960474418</v>
      </c>
      <c r="ER15" s="1">
        <f t="shared" si="32"/>
        <v>315.96541970869674</v>
      </c>
      <c r="ES15" s="1">
        <f t="shared" si="32"/>
        <v>312.80576551160976</v>
      </c>
    </row>
    <row r="16" spans="2:149" x14ac:dyDescent="0.3">
      <c r="B16" t="s">
        <v>2</v>
      </c>
      <c r="C16" s="4">
        <v>133</v>
      </c>
      <c r="D16" s="4">
        <v>133</v>
      </c>
      <c r="E16" s="4">
        <v>133</v>
      </c>
      <c r="F16" s="4">
        <v>133</v>
      </c>
      <c r="G16" s="4">
        <v>133</v>
      </c>
      <c r="H16" s="4">
        <v>133</v>
      </c>
      <c r="I16" s="4">
        <v>133</v>
      </c>
      <c r="J16" s="4">
        <v>133</v>
      </c>
      <c r="K16" s="4">
        <v>133</v>
      </c>
      <c r="L16" s="4">
        <v>132.9</v>
      </c>
      <c r="M16" s="4">
        <v>132.9</v>
      </c>
      <c r="N16" s="4">
        <v>132.9</v>
      </c>
      <c r="O16" s="4">
        <v>132.9</v>
      </c>
      <c r="P16" s="4">
        <v>132.9</v>
      </c>
      <c r="Q16" s="4">
        <v>132.9</v>
      </c>
      <c r="R16" s="4">
        <v>132.9</v>
      </c>
      <c r="S16" s="4">
        <v>126.8</v>
      </c>
      <c r="T16" s="4">
        <v>126.8</v>
      </c>
      <c r="V16" s="4">
        <v>133</v>
      </c>
      <c r="W16" s="4">
        <v>133</v>
      </c>
      <c r="X16" s="4">
        <v>133</v>
      </c>
      <c r="Y16" s="4">
        <v>133</v>
      </c>
      <c r="Z16" s="4">
        <v>132.9</v>
      </c>
      <c r="AA16" s="4">
        <v>133</v>
      </c>
      <c r="AB16" s="4">
        <v>133</v>
      </c>
      <c r="AC16" s="4">
        <v>133</v>
      </c>
      <c r="AD16" s="4">
        <v>126.8</v>
      </c>
      <c r="AE16" s="4">
        <v>126.8</v>
      </c>
      <c r="AF16" s="4">
        <v>126.8</v>
      </c>
      <c r="AG16" s="4">
        <v>126.8</v>
      </c>
      <c r="AH16" s="4">
        <v>126.8</v>
      </c>
      <c r="AI16" s="4">
        <v>126.8</v>
      </c>
      <c r="AJ16" s="4">
        <v>126.8</v>
      </c>
      <c r="AK16" s="4">
        <v>126.8</v>
      </c>
      <c r="AL16" s="4">
        <v>126.8</v>
      </c>
      <c r="AM16" s="4">
        <v>126.8</v>
      </c>
      <c r="AN16" s="4">
        <v>126.8</v>
      </c>
      <c r="AO16" s="4">
        <v>126.8</v>
      </c>
    </row>
    <row r="17" spans="2:44" s="1" customFormat="1" x14ac:dyDescent="0.3">
      <c r="B17" s="1" t="s">
        <v>31</v>
      </c>
      <c r="C17" s="8">
        <f t="shared" ref="C17:K17" si="33">C15/C16</f>
        <v>2.05639097744361</v>
      </c>
      <c r="D17" s="8">
        <f t="shared" si="33"/>
        <v>2.7203007518797029</v>
      </c>
      <c r="E17" s="8">
        <f t="shared" si="33"/>
        <v>1.8962406015037581</v>
      </c>
      <c r="F17" s="8">
        <f t="shared" si="33"/>
        <v>2.533834586466166</v>
      </c>
      <c r="G17" s="8">
        <f t="shared" si="33"/>
        <v>1.9112781954887228</v>
      </c>
      <c r="H17" s="8">
        <f t="shared" si="33"/>
        <v>2.593233082706766</v>
      </c>
      <c r="I17" s="8">
        <f t="shared" si="33"/>
        <v>2.0067669172932336</v>
      </c>
      <c r="J17" s="8">
        <f t="shared" si="33"/>
        <v>2.5812030075187971</v>
      </c>
      <c r="K17" s="8">
        <f t="shared" si="33"/>
        <v>-8.6466165413533774E-2</v>
      </c>
      <c r="L17" s="8">
        <f t="shared" ref="L17:P17" si="34">L15/L16</f>
        <v>2.2437923250564324</v>
      </c>
      <c r="M17" s="8">
        <f t="shared" ref="M17:N17" si="35">M15/M16</f>
        <v>2.1790820165537994</v>
      </c>
      <c r="N17" s="8">
        <f t="shared" si="35"/>
        <v>2.9187358916478514</v>
      </c>
      <c r="O17" s="8">
        <f t="shared" si="34"/>
        <v>2.4717832957110608</v>
      </c>
      <c r="P17" s="8">
        <f t="shared" si="34"/>
        <v>2.8833709556057197</v>
      </c>
      <c r="Q17" s="8">
        <f t="shared" ref="Q17:S17" si="36">Q15/Q16</f>
        <v>2.4213694507148227</v>
      </c>
      <c r="R17" s="8">
        <f t="shared" si="36"/>
        <v>3.615500376222724</v>
      </c>
      <c r="S17" s="8">
        <f t="shared" si="36"/>
        <v>2.5457413249211358</v>
      </c>
      <c r="T17" s="8">
        <f t="shared" ref="T17" si="37">T15/T16</f>
        <v>2.792157917981072</v>
      </c>
      <c r="V17" s="8">
        <f t="shared" ref="V17:AC17" si="38">V15/V16</f>
        <v>4.7766917293233124</v>
      </c>
      <c r="W17" s="8">
        <f t="shared" si="38"/>
        <v>4.4300751879699236</v>
      </c>
      <c r="X17" s="8">
        <f t="shared" si="38"/>
        <v>4.5045112781954888</v>
      </c>
      <c r="Y17" s="8">
        <f t="shared" si="38"/>
        <v>4.5879699248120307</v>
      </c>
      <c r="Z17" s="8">
        <f t="shared" si="38"/>
        <v>2.1572610985703546</v>
      </c>
      <c r="AA17" s="8">
        <f t="shared" si="38"/>
        <v>5.0939849624060107</v>
      </c>
      <c r="AB17" s="8">
        <f t="shared" si="38"/>
        <v>5.3511278195488741</v>
      </c>
      <c r="AC17" s="8">
        <f t="shared" si="38"/>
        <v>6.0323308270676703</v>
      </c>
      <c r="AD17" s="8">
        <f t="shared" ref="AD17:AJ17" si="39">AD15/AD16</f>
        <v>5.3378992429022096</v>
      </c>
      <c r="AE17" s="8">
        <f t="shared" si="39"/>
        <v>6.433204400630915</v>
      </c>
      <c r="AF17" s="8">
        <f t="shared" si="39"/>
        <v>6.608699639432178</v>
      </c>
      <c r="AG17" s="8">
        <f t="shared" si="39"/>
        <v>6.7158167745520512</v>
      </c>
      <c r="AH17" s="8">
        <f t="shared" si="39"/>
        <v>6.7510393779108799</v>
      </c>
      <c r="AI17" s="8">
        <f t="shared" si="39"/>
        <v>6.7853215000234455</v>
      </c>
      <c r="AJ17" s="8">
        <f t="shared" si="39"/>
        <v>6.8702938634934485</v>
      </c>
      <c r="AK17" s="8">
        <f t="shared" ref="AK17:AO17" si="40">AK15/AK16</f>
        <v>6.9558313301965899</v>
      </c>
      <c r="AL17" s="8">
        <f t="shared" si="40"/>
        <v>7.0419469764502702</v>
      </c>
      <c r="AM17" s="8">
        <f t="shared" si="40"/>
        <v>7.1286539128156639</v>
      </c>
      <c r="AN17" s="8">
        <f t="shared" si="40"/>
        <v>7.2159652879301577</v>
      </c>
      <c r="AO17" s="8">
        <f t="shared" si="40"/>
        <v>7.303894292355058</v>
      </c>
    </row>
    <row r="19" spans="2:44" x14ac:dyDescent="0.3">
      <c r="B19" s="1" t="s">
        <v>35</v>
      </c>
      <c r="E19" s="10">
        <f>E3/C3-1</f>
        <v>-2.6859823684074913E-2</v>
      </c>
      <c r="F19" s="10">
        <f t="shared" ref="F19:L19" si="41">F3/D3-1</f>
        <v>4.7738227660361066E-3</v>
      </c>
      <c r="G19" s="10">
        <f t="shared" si="41"/>
        <v>3.9362152998516642E-2</v>
      </c>
      <c r="H19" s="10">
        <f t="shared" si="41"/>
        <v>1.734397343050853E-2</v>
      </c>
      <c r="I19" s="10">
        <f t="shared" si="41"/>
        <v>2.6810744686273535E-2</v>
      </c>
      <c r="J19" s="10">
        <f t="shared" si="41"/>
        <v>2.0947630922693472E-2</v>
      </c>
      <c r="K19" s="10">
        <f t="shared" si="41"/>
        <v>-0.33844626458178206</v>
      </c>
      <c r="L19" s="10">
        <f t="shared" si="41"/>
        <v>-2.2205444775058814E-2</v>
      </c>
      <c r="M19" s="10">
        <f t="shared" ref="M19" si="42">M3/K3-1</f>
        <v>0.59038043070458457</v>
      </c>
      <c r="N19" s="10">
        <f t="shared" ref="N19" si="43">N3/L3-1</f>
        <v>0.13839305990825257</v>
      </c>
      <c r="O19" s="10">
        <f t="shared" ref="O19" si="44">O3/M3-1</f>
        <v>0.12271762208067938</v>
      </c>
      <c r="P19" s="10">
        <f t="shared" ref="P19" si="45">P3/N3-1</f>
        <v>5.9048834982445175E-2</v>
      </c>
      <c r="Q19" s="10">
        <f t="shared" ref="Q19" si="46">Q3/O3-1</f>
        <v>5.7572701294335227E-2</v>
      </c>
      <c r="R19" s="10">
        <f t="shared" ref="R19" si="47">R3/P3-1</f>
        <v>0.12055455093429779</v>
      </c>
      <c r="S19" s="10">
        <f t="shared" ref="S19" si="48">S3/Q3-1</f>
        <v>0.13645394579988879</v>
      </c>
      <c r="T19" s="10">
        <f t="shared" ref="T19" si="49">T3/R3-1</f>
        <v>5.0000000000000044E-2</v>
      </c>
      <c r="W19" s="10">
        <f>W3/V3-1</f>
        <v>-1.0201840236253146E-2</v>
      </c>
      <c r="X19" s="10">
        <f t="shared" ref="X19:AK19" si="50">X3/W3-1</f>
        <v>2.7592158796695854E-2</v>
      </c>
      <c r="Y19" s="10">
        <f t="shared" si="50"/>
        <v>2.3707827422373651E-2</v>
      </c>
      <c r="Z19" s="10">
        <f t="shared" si="50"/>
        <v>-0.17153438657353137</v>
      </c>
      <c r="AA19" s="10">
        <f t="shared" si="50"/>
        <v>0.3088218650973289</v>
      </c>
      <c r="AB19" s="10">
        <f t="shared" si="50"/>
        <v>8.8220670572213056E-2</v>
      </c>
      <c r="AC19" s="10">
        <f t="shared" si="50"/>
        <v>9.0782677791021005E-2</v>
      </c>
      <c r="AD19" s="10">
        <f t="shared" si="50"/>
        <v>8.9623019486432476E-2</v>
      </c>
      <c r="AE19" s="10">
        <f t="shared" si="50"/>
        <v>5.0000000000000044E-2</v>
      </c>
      <c r="AF19" s="10">
        <f t="shared" si="50"/>
        <v>3.0000000000000027E-2</v>
      </c>
      <c r="AG19" s="10">
        <f t="shared" si="50"/>
        <v>2.0000000000000018E-2</v>
      </c>
      <c r="AH19" s="10">
        <f t="shared" si="50"/>
        <v>1.0000000000000009E-2</v>
      </c>
      <c r="AI19" s="10">
        <f t="shared" si="50"/>
        <v>1.0000000000000009E-2</v>
      </c>
      <c r="AJ19" s="10">
        <f t="shared" si="50"/>
        <v>1.0000000000000009E-2</v>
      </c>
      <c r="AK19" s="10">
        <f t="shared" si="50"/>
        <v>1.0000000000000009E-2</v>
      </c>
      <c r="AL19" s="10">
        <f t="shared" ref="AL19" si="51">AL3/AK3-1</f>
        <v>1.0000000000000009E-2</v>
      </c>
      <c r="AM19" s="10">
        <f t="shared" ref="AM19" si="52">AM3/AL3-1</f>
        <v>1.0000000000000009E-2</v>
      </c>
      <c r="AN19" s="10">
        <f t="shared" ref="AN19" si="53">AN3/AM3-1</f>
        <v>1.0000000000000009E-2</v>
      </c>
      <c r="AO19" s="10">
        <f t="shared" ref="AO19" si="54">AO3/AN3-1</f>
        <v>1.0000000000000009E-2</v>
      </c>
    </row>
    <row r="20" spans="2:44" x14ac:dyDescent="0.3">
      <c r="B20" s="1" t="s">
        <v>34</v>
      </c>
      <c r="C20" s="10">
        <f>C5/C3</f>
        <v>0.32592668969428262</v>
      </c>
      <c r="D20" s="10">
        <f t="shared" ref="D20:L20" si="55">D5/D3</f>
        <v>0.34964775676677812</v>
      </c>
      <c r="E20" s="10">
        <f t="shared" si="55"/>
        <v>0.31902945539309169</v>
      </c>
      <c r="F20" s="10">
        <f t="shared" si="55"/>
        <v>0.34780202038839431</v>
      </c>
      <c r="G20" s="10">
        <f t="shared" si="55"/>
        <v>0.34359549416382085</v>
      </c>
      <c r="H20" s="10">
        <f t="shared" si="55"/>
        <v>0.39827703468601228</v>
      </c>
      <c r="I20" s="10">
        <f t="shared" si="55"/>
        <v>0.37969719533382978</v>
      </c>
      <c r="J20" s="10">
        <f t="shared" si="55"/>
        <v>0.38886174890083047</v>
      </c>
      <c r="K20" s="10">
        <f t="shared" si="55"/>
        <v>0.27875740976964059</v>
      </c>
      <c r="L20" s="10">
        <f t="shared" si="55"/>
        <v>0.39805604759958213</v>
      </c>
      <c r="M20" s="10">
        <f t="shared" ref="M20:N20" si="56">M5/M3</f>
        <v>0.41623024298183536</v>
      </c>
      <c r="N20" s="10">
        <f t="shared" si="56"/>
        <v>0.43480689435046266</v>
      </c>
      <c r="O20" s="10">
        <f t="shared" ref="O20:T20" si="57">O5/O3</f>
        <v>0.4163724995797613</v>
      </c>
      <c r="P20" s="10">
        <f t="shared" si="57"/>
        <v>0.44624020494273664</v>
      </c>
      <c r="Q20" s="10">
        <f t="shared" si="57"/>
        <v>0.43674004609393624</v>
      </c>
      <c r="R20" s="10">
        <f t="shared" si="57"/>
        <v>0.44425766541151157</v>
      </c>
      <c r="S20" s="10">
        <f t="shared" si="57"/>
        <v>0.42702797202797199</v>
      </c>
      <c r="T20" s="10">
        <f t="shared" si="57"/>
        <v>0.43</v>
      </c>
      <c r="V20" s="10">
        <f t="shared" ref="V20:AJ20" si="58">V5/V3</f>
        <v>0.33841798257389022</v>
      </c>
      <c r="W20" s="10">
        <f t="shared" si="58"/>
        <v>0.33441006041178639</v>
      </c>
      <c r="X20" s="10">
        <f t="shared" si="58"/>
        <v>0.37253443393962665</v>
      </c>
      <c r="Y20" s="10">
        <f t="shared" si="58"/>
        <v>0.38453424593314894</v>
      </c>
      <c r="Z20" s="10">
        <f t="shared" si="58"/>
        <v>0.35307265731100046</v>
      </c>
      <c r="AA20" s="10">
        <f t="shared" si="58"/>
        <v>0.42629542359324668</v>
      </c>
      <c r="AB20" s="10">
        <f t="shared" si="58"/>
        <v>0.43212157330154949</v>
      </c>
      <c r="AC20" s="10">
        <f t="shared" si="58"/>
        <v>0.44081223820797671</v>
      </c>
      <c r="AD20" s="10">
        <f t="shared" si="58"/>
        <v>0.42857933653344743</v>
      </c>
      <c r="AE20" s="10">
        <f t="shared" si="58"/>
        <v>0.44</v>
      </c>
      <c r="AF20" s="10">
        <f t="shared" si="58"/>
        <v>0.44</v>
      </c>
      <c r="AG20" s="10">
        <f t="shared" si="58"/>
        <v>0.44</v>
      </c>
      <c r="AH20" s="10">
        <f t="shared" si="58"/>
        <v>0.43999999999999995</v>
      </c>
      <c r="AI20" s="10">
        <f t="shared" si="58"/>
        <v>0.44</v>
      </c>
      <c r="AJ20" s="10">
        <f t="shared" si="58"/>
        <v>0.44</v>
      </c>
      <c r="AK20" s="10">
        <f t="shared" ref="AK20:AO20" si="59">AK5/AK3</f>
        <v>0.44</v>
      </c>
      <c r="AL20" s="10">
        <f t="shared" si="59"/>
        <v>0.44000000000000006</v>
      </c>
      <c r="AM20" s="10">
        <f t="shared" si="59"/>
        <v>0.44</v>
      </c>
      <c r="AN20" s="10">
        <f t="shared" si="59"/>
        <v>0.44</v>
      </c>
      <c r="AO20" s="10">
        <f t="shared" si="59"/>
        <v>0.44</v>
      </c>
    </row>
    <row r="21" spans="2:44" x14ac:dyDescent="0.3">
      <c r="B21" t="s">
        <v>36</v>
      </c>
      <c r="C21" s="10">
        <f>C9/C3</f>
        <v>0.18585348249729342</v>
      </c>
      <c r="D21" s="10">
        <f t="shared" ref="D21:L21" si="60">D9/D3</f>
        <v>0.21653689284390082</v>
      </c>
      <c r="E21" s="10">
        <f t="shared" si="60"/>
        <v>0.17228226319135398</v>
      </c>
      <c r="F21" s="10">
        <f t="shared" si="60"/>
        <v>0.20051662899580242</v>
      </c>
      <c r="G21" s="10">
        <f t="shared" si="60"/>
        <v>0.16845914674550186</v>
      </c>
      <c r="H21" s="10">
        <f t="shared" si="60"/>
        <v>0.23151212876898661</v>
      </c>
      <c r="I21" s="10">
        <f t="shared" si="60"/>
        <v>0.18902953586497895</v>
      </c>
      <c r="J21" s="10">
        <f t="shared" si="60"/>
        <v>0.21010791846160679</v>
      </c>
      <c r="K21" s="10">
        <f t="shared" si="60"/>
        <v>2.5587153898101598E-2</v>
      </c>
      <c r="L21" s="10">
        <f t="shared" si="60"/>
        <v>0.18640141708679656</v>
      </c>
      <c r="M21" s="10">
        <f t="shared" ref="M21:N21" si="61">M9/M3</f>
        <v>0.18518518518518517</v>
      </c>
      <c r="N21" s="10">
        <f t="shared" si="61"/>
        <v>0.20463613150335125</v>
      </c>
      <c r="O21" s="10">
        <f t="shared" ref="O21:T21" si="62">O9/O3</f>
        <v>0.18255168935955624</v>
      </c>
      <c r="P21" s="10">
        <f t="shared" si="62"/>
        <v>0.19104128993369507</v>
      </c>
      <c r="Q21" s="10">
        <f t="shared" si="62"/>
        <v>0.17980608757847885</v>
      </c>
      <c r="R21" s="10">
        <f t="shared" si="62"/>
        <v>0.18000268961807425</v>
      </c>
      <c r="S21" s="10">
        <f t="shared" si="62"/>
        <v>0.16629370629370629</v>
      </c>
      <c r="T21" s="10">
        <f t="shared" si="62"/>
        <v>0.16065690719536868</v>
      </c>
      <c r="V21" s="10">
        <f t="shared" ref="V21:AJ21" si="63">V9/V3</f>
        <v>0.20201108046762514</v>
      </c>
      <c r="W21" s="10">
        <f t="shared" si="63"/>
        <v>0.18737516952287012</v>
      </c>
      <c r="X21" s="10">
        <f t="shared" si="63"/>
        <v>0.20182847818783897</v>
      </c>
      <c r="Y21" s="10">
        <f t="shared" si="63"/>
        <v>0.20015470442079603</v>
      </c>
      <c r="Z21" s="10">
        <f t="shared" si="63"/>
        <v>0.12576392032593936</v>
      </c>
      <c r="AA21" s="10">
        <f t="shared" si="63"/>
        <v>0.19572407531507371</v>
      </c>
      <c r="AB21" s="10">
        <f t="shared" si="63"/>
        <v>0.18702820818434648</v>
      </c>
      <c r="AC21" s="10">
        <f t="shared" si="63"/>
        <v>0.17991258422873796</v>
      </c>
      <c r="AD21" s="10">
        <f t="shared" si="63"/>
        <v>0.16335136183128535</v>
      </c>
      <c r="AE21" s="10">
        <f t="shared" si="63"/>
        <v>0.18007026434368686</v>
      </c>
      <c r="AF21" s="10">
        <f t="shared" si="63"/>
        <v>0.17890589797809162</v>
      </c>
      <c r="AG21" s="10">
        <f t="shared" si="63"/>
        <v>0.17771870089944547</v>
      </c>
      <c r="AH21" s="10">
        <f t="shared" si="63"/>
        <v>0.17650799496775674</v>
      </c>
      <c r="AI21" s="10">
        <f t="shared" si="63"/>
        <v>0.17528530184862565</v>
      </c>
      <c r="AJ21" s="10">
        <f t="shared" si="63"/>
        <v>0.17528530184862567</v>
      </c>
      <c r="AK21" s="10">
        <f t="shared" ref="AK21:AO21" si="64">AK9/AK3</f>
        <v>0.17528530184862567</v>
      </c>
      <c r="AL21" s="10">
        <f t="shared" si="64"/>
        <v>0.1752853018486257</v>
      </c>
      <c r="AM21" s="10">
        <f t="shared" si="64"/>
        <v>0.17528530184862565</v>
      </c>
      <c r="AN21" s="10">
        <f t="shared" si="64"/>
        <v>0.17528530184862562</v>
      </c>
      <c r="AO21" s="10">
        <f t="shared" si="64"/>
        <v>0.17528530184862565</v>
      </c>
      <c r="AQ21" t="s">
        <v>39</v>
      </c>
      <c r="AR21" s="10">
        <v>-0.01</v>
      </c>
    </row>
    <row r="22" spans="2:44" x14ac:dyDescent="0.3">
      <c r="B22" t="s">
        <v>37</v>
      </c>
      <c r="C22" s="10">
        <f>C6/C3</f>
        <v>8.71268752899933E-2</v>
      </c>
      <c r="D22" s="10">
        <f t="shared" ref="D22:L22" si="65">D6/D3</f>
        <v>8.1618464961067852E-2</v>
      </c>
      <c r="E22" s="10">
        <f t="shared" si="65"/>
        <v>8.984954439499894E-2</v>
      </c>
      <c r="F22" s="10">
        <f t="shared" si="65"/>
        <v>8.9625905253932367E-2</v>
      </c>
      <c r="G22" s="10">
        <f t="shared" si="65"/>
        <v>0.10953667363270299</v>
      </c>
      <c r="H22" s="10">
        <f t="shared" si="65"/>
        <v>0.10999773294037635</v>
      </c>
      <c r="I22" s="10">
        <f t="shared" si="65"/>
        <v>0.12390171258376768</v>
      </c>
      <c r="J22" s="10">
        <f t="shared" si="65"/>
        <v>0.1187547186570147</v>
      </c>
      <c r="K22" s="10">
        <f t="shared" si="65"/>
        <v>0.17033090718091093</v>
      </c>
      <c r="L22" s="10">
        <f t="shared" si="65"/>
        <v>0.14933914702275514</v>
      </c>
      <c r="M22" s="10">
        <f t="shared" ref="M22:N22" si="66">M6/M3</f>
        <v>0.15697098372257606</v>
      </c>
      <c r="N22" s="10">
        <f t="shared" si="66"/>
        <v>0.14403127992339615</v>
      </c>
      <c r="O22" s="10">
        <f t="shared" ref="O22:T22" si="67">O6/O3</f>
        <v>0.15229450327786181</v>
      </c>
      <c r="P22" s="10">
        <f t="shared" si="67"/>
        <v>0.14602169981916818</v>
      </c>
      <c r="Q22" s="10">
        <f t="shared" si="67"/>
        <v>0.14960661209568465</v>
      </c>
      <c r="R22" s="10">
        <f t="shared" si="67"/>
        <v>0.14039806347498657</v>
      </c>
      <c r="S22" s="10">
        <f t="shared" si="67"/>
        <v>0.14783216783216785</v>
      </c>
      <c r="T22" s="10">
        <f t="shared" si="67"/>
        <v>0.14000000000000001</v>
      </c>
      <c r="V22" s="10">
        <f t="shared" ref="V22:AJ22" si="68">V6/V3</f>
        <v>8.4226197739975112E-2</v>
      </c>
      <c r="W22" s="10">
        <f t="shared" si="68"/>
        <v>8.9729996301319184E-2</v>
      </c>
      <c r="X22" s="10">
        <f t="shared" si="68"/>
        <v>0.10978067860056631</v>
      </c>
      <c r="Y22" s="10">
        <f t="shared" si="68"/>
        <v>0.12118512962355259</v>
      </c>
      <c r="Z22" s="10">
        <f t="shared" si="68"/>
        <v>0.15725441376188318</v>
      </c>
      <c r="AA22" s="10">
        <f t="shared" si="68"/>
        <v>0.14996000778226942</v>
      </c>
      <c r="AB22" s="10">
        <f t="shared" si="68"/>
        <v>0.14898688915375446</v>
      </c>
      <c r="AC22" s="10">
        <f t="shared" si="68"/>
        <v>0.14461846658167912</v>
      </c>
      <c r="AD22" s="10">
        <f t="shared" si="68"/>
        <v>0.14374386607656206</v>
      </c>
      <c r="AE22" s="10">
        <f t="shared" si="68"/>
        <v>0.14000000000000001</v>
      </c>
      <c r="AF22" s="10">
        <f t="shared" si="68"/>
        <v>0.14000000000000001</v>
      </c>
      <c r="AG22" s="10">
        <f t="shared" si="68"/>
        <v>0.14000000000000001</v>
      </c>
      <c r="AH22" s="10">
        <f t="shared" si="68"/>
        <v>0.14000000000000001</v>
      </c>
      <c r="AI22" s="10">
        <f t="shared" si="68"/>
        <v>0.14000000000000001</v>
      </c>
      <c r="AJ22" s="10">
        <f t="shared" si="68"/>
        <v>0.14000000000000001</v>
      </c>
      <c r="AK22" s="10">
        <f t="shared" ref="AK22:AO22" si="69">AK6/AK3</f>
        <v>0.14000000000000001</v>
      </c>
      <c r="AL22" s="10">
        <f t="shared" si="69"/>
        <v>0.14000000000000001</v>
      </c>
      <c r="AM22" s="10">
        <f t="shared" si="69"/>
        <v>0.14000000000000001</v>
      </c>
      <c r="AN22" s="10">
        <f t="shared" si="69"/>
        <v>0.14000000000000001</v>
      </c>
      <c r="AO22" s="10">
        <f t="shared" si="69"/>
        <v>0.14000000000000001</v>
      </c>
      <c r="AQ22" t="s">
        <v>40</v>
      </c>
      <c r="AR22" s="10">
        <v>0.08</v>
      </c>
    </row>
    <row r="23" spans="2:44" x14ac:dyDescent="0.3">
      <c r="B23" t="s">
        <v>38</v>
      </c>
      <c r="E23" s="10">
        <f t="shared" ref="E23:L23" si="70">E7/C7-1</f>
        <v>4.3562439496611871E-2</v>
      </c>
      <c r="F23" s="10">
        <f t="shared" si="70"/>
        <v>0.11559139784946248</v>
      </c>
      <c r="G23" s="10">
        <f t="shared" si="70"/>
        <v>0.21150278293135427</v>
      </c>
      <c r="H23" s="10">
        <f t="shared" si="70"/>
        <v>2.4096385542169418E-3</v>
      </c>
      <c r="I23" s="10">
        <f t="shared" si="70"/>
        <v>6.1255742725880857E-3</v>
      </c>
      <c r="J23" s="10">
        <f t="shared" si="70"/>
        <v>9.2147435897435681E-2</v>
      </c>
      <c r="K23" s="10">
        <f t="shared" si="70"/>
        <v>-0.15905631659056318</v>
      </c>
      <c r="L23" s="10">
        <f t="shared" si="70"/>
        <v>0</v>
      </c>
      <c r="M23" s="10">
        <f t="shared" ref="M23" si="71">M7/K7-1</f>
        <v>0.43348416289592762</v>
      </c>
      <c r="N23" s="10">
        <f t="shared" ref="N23" si="72">N7/L7-1</f>
        <v>0.62729273661041796</v>
      </c>
      <c r="O23" s="10">
        <f t="shared" ref="O23" si="73">O7/M7-1</f>
        <v>0.23295454545454541</v>
      </c>
      <c r="P23" s="10">
        <f t="shared" ref="P23" si="74">P7/N7-1</f>
        <v>0.29170423805229939</v>
      </c>
      <c r="Q23" s="10">
        <f t="shared" ref="Q23" si="75">Q7/O7-1</f>
        <v>0.47004608294930872</v>
      </c>
      <c r="R23" s="10">
        <f t="shared" ref="R23" si="76">R7/P7-1</f>
        <v>0.29354275741710301</v>
      </c>
      <c r="S23" s="10">
        <f t="shared" ref="S23" si="77">S7/Q7-1</f>
        <v>9.2302333681643978E-2</v>
      </c>
      <c r="T23" s="10">
        <f t="shared" ref="T23" si="78">T7/R7-1</f>
        <v>9.000000000000008E-2</v>
      </c>
      <c r="W23" s="10">
        <f t="shared" ref="W23:AK23" si="79">W7/V7-1</f>
        <v>8.0967892042810741E-2</v>
      </c>
      <c r="X23" s="10">
        <f t="shared" si="79"/>
        <v>9.9440378820490727E-2</v>
      </c>
      <c r="Y23" s="10">
        <f t="shared" si="79"/>
        <v>4.815974941268597E-2</v>
      </c>
      <c r="Z23" s="10">
        <f t="shared" si="79"/>
        <v>-7.8072469181920012E-2</v>
      </c>
      <c r="AA23" s="10">
        <f t="shared" si="79"/>
        <v>0.54051863857374371</v>
      </c>
      <c r="AB23" s="10">
        <f t="shared" si="79"/>
        <v>0.26722777485533933</v>
      </c>
      <c r="AC23" s="10">
        <f t="shared" si="79"/>
        <v>0.36508924865089254</v>
      </c>
      <c r="AD23" s="10">
        <f t="shared" si="79"/>
        <v>9.1005017485175754E-2</v>
      </c>
      <c r="AE23" s="10">
        <f t="shared" si="79"/>
        <v>5.0000000000000044E-2</v>
      </c>
      <c r="AF23" s="10">
        <f t="shared" si="79"/>
        <v>4.0000000000000036E-2</v>
      </c>
      <c r="AG23" s="10">
        <f t="shared" si="79"/>
        <v>3.0000000000000027E-2</v>
      </c>
      <c r="AH23" s="10">
        <f t="shared" si="79"/>
        <v>2.0000000000000018E-2</v>
      </c>
      <c r="AI23" s="10">
        <f t="shared" si="79"/>
        <v>2.0000000000000018E-2</v>
      </c>
      <c r="AJ23" s="10">
        <f t="shared" si="79"/>
        <v>1.0000000000000009E-2</v>
      </c>
      <c r="AK23" s="10">
        <f t="shared" si="79"/>
        <v>1.0000000000000009E-2</v>
      </c>
      <c r="AL23" s="10">
        <f t="shared" ref="AL23" si="80">AL7/AK7-1</f>
        <v>1.0000000000000009E-2</v>
      </c>
      <c r="AM23" s="10">
        <f t="shared" ref="AM23" si="81">AM7/AL7-1</f>
        <v>1.0000000000000009E-2</v>
      </c>
      <c r="AN23" s="10">
        <f t="shared" ref="AN23" si="82">AN7/AM7-1</f>
        <v>1.0000000000000009E-2</v>
      </c>
      <c r="AO23" s="10">
        <f t="shared" ref="AO23" si="83">AO7/AN7-1</f>
        <v>1.0000000000000009E-2</v>
      </c>
      <c r="AQ23" t="s">
        <v>41</v>
      </c>
      <c r="AR23" s="4">
        <f>NPV(AR22,AA15:ES15)</f>
        <v>10128.357781697181</v>
      </c>
    </row>
    <row r="24" spans="2:44" x14ac:dyDescent="0.3">
      <c r="B24" t="s">
        <v>29</v>
      </c>
      <c r="C24" s="10">
        <f>C13/C12</f>
        <v>0.20052616194095288</v>
      </c>
      <c r="D24" s="10">
        <f t="shared" ref="D24:AJ24" si="84">D13/D12</f>
        <v>0.19259093952242784</v>
      </c>
      <c r="E24" s="10">
        <f t="shared" si="84"/>
        <v>0.18487394957983205</v>
      </c>
      <c r="F24" s="10">
        <f t="shared" si="84"/>
        <v>0.18618691137406421</v>
      </c>
      <c r="G24" s="10">
        <f t="shared" si="84"/>
        <v>0.1828993892639022</v>
      </c>
      <c r="H24" s="10">
        <f t="shared" si="84"/>
        <v>0.18366863905325448</v>
      </c>
      <c r="I24" s="10">
        <f t="shared" si="84"/>
        <v>0.18478924862553447</v>
      </c>
      <c r="J24" s="10">
        <f t="shared" si="84"/>
        <v>0.18475421515079554</v>
      </c>
      <c r="K24" s="10">
        <f t="shared" si="84"/>
        <v>0.30303030303030315</v>
      </c>
      <c r="L24" s="10">
        <f t="shared" si="84"/>
        <v>0.16912789077737539</v>
      </c>
      <c r="M24" s="10">
        <f t="shared" ref="M24:N24" si="85">M13/M12</f>
        <v>0.16469570233631384</v>
      </c>
      <c r="N24" s="10">
        <f t="shared" si="85"/>
        <v>0.18576826196473573</v>
      </c>
      <c r="O24" s="10">
        <f t="shared" ref="O24:T24" si="86">O13/O12</f>
        <v>0.1799800299550674</v>
      </c>
      <c r="P24" s="10">
        <f t="shared" si="86"/>
        <v>0.18455301898869206</v>
      </c>
      <c r="Q24" s="10">
        <f t="shared" si="86"/>
        <v>0.23430358431561227</v>
      </c>
      <c r="R24" s="10">
        <f t="shared" si="86"/>
        <v>0.19646725545742377</v>
      </c>
      <c r="S24" s="10">
        <f t="shared" si="86"/>
        <v>0.24699074074074076</v>
      </c>
      <c r="T24" s="10">
        <f t="shared" si="86"/>
        <v>0.22</v>
      </c>
      <c r="V24" s="10">
        <f t="shared" si="84"/>
        <v>0.19602632245001253</v>
      </c>
      <c r="W24" s="10">
        <f t="shared" si="84"/>
        <v>0.18562543192812722</v>
      </c>
      <c r="X24" s="10">
        <f t="shared" si="84"/>
        <v>0.18334242093784078</v>
      </c>
      <c r="Y24" s="10">
        <f t="shared" si="84"/>
        <v>0.18476953907815633</v>
      </c>
      <c r="Z24" s="10">
        <f t="shared" si="84"/>
        <v>0.16267523364485975</v>
      </c>
      <c r="AA24" s="10">
        <f t="shared" si="84"/>
        <v>0.1768922366662618</v>
      </c>
      <c r="AB24" s="10">
        <f t="shared" si="84"/>
        <v>0.18244564592200616</v>
      </c>
      <c r="AC24" s="10">
        <f t="shared" si="84"/>
        <v>0.21195117149045084</v>
      </c>
      <c r="AD24" s="10">
        <f t="shared" si="84"/>
        <v>0.23310479293752806</v>
      </c>
      <c r="AE24" s="10">
        <f t="shared" si="84"/>
        <v>0.22</v>
      </c>
      <c r="AF24" s="10">
        <f t="shared" si="84"/>
        <v>0.22</v>
      </c>
      <c r="AG24" s="10">
        <f t="shared" si="84"/>
        <v>0.22</v>
      </c>
      <c r="AH24" s="10">
        <f t="shared" si="84"/>
        <v>0.22</v>
      </c>
      <c r="AI24" s="10">
        <f t="shared" si="84"/>
        <v>0.22</v>
      </c>
      <c r="AJ24" s="10">
        <f t="shared" si="84"/>
        <v>0.22</v>
      </c>
      <c r="AK24" s="10">
        <f t="shared" ref="AK24:AO24" si="87">AK13/AK12</f>
        <v>0.22</v>
      </c>
      <c r="AL24" s="10">
        <f t="shared" si="87"/>
        <v>0.22</v>
      </c>
      <c r="AM24" s="10">
        <f t="shared" si="87"/>
        <v>0.22</v>
      </c>
      <c r="AN24" s="10">
        <f t="shared" si="87"/>
        <v>0.22000000000000003</v>
      </c>
      <c r="AO24" s="10">
        <f t="shared" si="87"/>
        <v>0.21999999999999997</v>
      </c>
      <c r="AQ24" t="s">
        <v>42</v>
      </c>
      <c r="AR24" s="4">
        <f>Main!D8</f>
        <v>-668.9</v>
      </c>
    </row>
    <row r="25" spans="2:44" x14ac:dyDescent="0.3">
      <c r="B25" t="s">
        <v>51</v>
      </c>
      <c r="C25" s="10">
        <f>C15/C3</f>
        <v>0.14100118575037382</v>
      </c>
      <c r="D25" s="10">
        <f t="shared" ref="D25:N25" si="88">D15/D3</f>
        <v>0.16768631813125714</v>
      </c>
      <c r="E25" s="10">
        <f t="shared" si="88"/>
        <v>0.13360881542699715</v>
      </c>
      <c r="F25" s="10">
        <f t="shared" si="88"/>
        <v>0.15544997462982613</v>
      </c>
      <c r="G25" s="10">
        <f t="shared" si="88"/>
        <v>0.12956827565115456</v>
      </c>
      <c r="H25" s="10">
        <f t="shared" si="88"/>
        <v>0.15638177284062568</v>
      </c>
      <c r="I25" s="10">
        <f t="shared" si="88"/>
        <v>0.13248945147679331</v>
      </c>
      <c r="J25" s="10">
        <f t="shared" si="88"/>
        <v>0.15246258382555405</v>
      </c>
      <c r="K25" s="10">
        <f t="shared" si="88"/>
        <v>-8.6290988219404167E-3</v>
      </c>
      <c r="L25" s="10">
        <f t="shared" si="88"/>
        <v>0.13544079574873957</v>
      </c>
      <c r="M25" s="10">
        <f t="shared" si="88"/>
        <v>0.13663599905638121</v>
      </c>
      <c r="N25" s="10">
        <f t="shared" si="88"/>
        <v>0.15476380466007003</v>
      </c>
      <c r="O25" s="10">
        <f t="shared" ref="O25:T25" si="89">O15/O3</f>
        <v>0.13804841149773073</v>
      </c>
      <c r="P25" s="10">
        <f t="shared" si="89"/>
        <v>0.14436407474382162</v>
      </c>
      <c r="Q25" s="10">
        <f t="shared" si="89"/>
        <v>0.127870936978463</v>
      </c>
      <c r="R25" s="10">
        <f t="shared" si="89"/>
        <v>0.16154518558364714</v>
      </c>
      <c r="S25" s="10">
        <f t="shared" si="89"/>
        <v>0.11286713286713287</v>
      </c>
      <c r="T25" s="10">
        <f t="shared" si="89"/>
        <v>0.11336279873972178</v>
      </c>
      <c r="V25" s="10">
        <f t="shared" ref="V25:AK25" si="90">V15/V3</f>
        <v>0.15505332780123507</v>
      </c>
      <c r="W25" s="10">
        <f t="shared" si="90"/>
        <v>0.14528418197509552</v>
      </c>
      <c r="X25" s="10">
        <f t="shared" si="90"/>
        <v>0.14375869846906947</v>
      </c>
      <c r="Y25" s="10">
        <f t="shared" si="90"/>
        <v>0.14303126904505181</v>
      </c>
      <c r="Z25" s="10">
        <f t="shared" si="90"/>
        <v>8.1117021276595785E-2</v>
      </c>
      <c r="AA25" s="10">
        <f t="shared" si="90"/>
        <v>0.14645798655396777</v>
      </c>
      <c r="AB25" s="10">
        <f t="shared" si="90"/>
        <v>0.14137862534763612</v>
      </c>
      <c r="AC25" s="10">
        <f t="shared" si="90"/>
        <v>0.14611181934073941</v>
      </c>
      <c r="AD25" s="10">
        <f t="shared" si="90"/>
        <v>0.11312586476620895</v>
      </c>
      <c r="AE25" s="10">
        <f t="shared" si="90"/>
        <v>0.12984630379181047</v>
      </c>
      <c r="AF25" s="10">
        <f t="shared" si="90"/>
        <v>0.12950335819483197</v>
      </c>
      <c r="AG25" s="10">
        <f t="shared" si="90"/>
        <v>0.12902197441715585</v>
      </c>
      <c r="AH25" s="10">
        <f t="shared" si="90"/>
        <v>0.12841451388452099</v>
      </c>
      <c r="AI25" s="10">
        <f t="shared" si="90"/>
        <v>0.12778872211117379</v>
      </c>
      <c r="AJ25" s="10">
        <f t="shared" si="90"/>
        <v>0.1281079368105725</v>
      </c>
      <c r="AK25" s="10">
        <f t="shared" si="90"/>
        <v>0.12841873629924444</v>
      </c>
      <c r="AL25" s="10">
        <f t="shared" ref="AL25:AO25" si="91">AL15/AL3</f>
        <v>0.12872139165105295</v>
      </c>
      <c r="AM25" s="10">
        <f t="shared" si="91"/>
        <v>0.12901616630632293</v>
      </c>
      <c r="AN25" s="10">
        <f t="shared" si="91"/>
        <v>0.12930331630686034</v>
      </c>
      <c r="AO25" s="10">
        <f t="shared" si="91"/>
        <v>0.12958309052415418</v>
      </c>
      <c r="AQ25" t="s">
        <v>43</v>
      </c>
      <c r="AR25" s="4">
        <f>AR23+AR24</f>
        <v>9459.4577816971814</v>
      </c>
    </row>
    <row r="26" spans="2:44" x14ac:dyDescent="0.3">
      <c r="AQ26" t="s">
        <v>44</v>
      </c>
      <c r="AR26" s="3">
        <f>AR25/AJ16</f>
        <v>74.601402063857904</v>
      </c>
    </row>
    <row r="27" spans="2:44" x14ac:dyDescent="0.3">
      <c r="AQ27" t="s">
        <v>45</v>
      </c>
      <c r="AR27" s="3">
        <f>Main!D3</f>
        <v>98.62</v>
      </c>
    </row>
    <row r="28" spans="2:44" x14ac:dyDescent="0.3">
      <c r="AQ28" s="1" t="s">
        <v>46</v>
      </c>
      <c r="AR28" s="11">
        <f>AR26/AR27-1</f>
        <v>-0.24354692695337765</v>
      </c>
    </row>
    <row r="29" spans="2:44" x14ac:dyDescent="0.3">
      <c r="AQ29" t="s">
        <v>47</v>
      </c>
      <c r="AR29" s="5" t="s">
        <v>59</v>
      </c>
    </row>
    <row r="31" spans="2:44" x14ac:dyDescent="0.3">
      <c r="AP31" t="s">
        <v>50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2021-01-08T07:51:17Z</dcterms:created>
  <dcterms:modified xsi:type="dcterms:W3CDTF">2024-11-09T12:47:11Z</dcterms:modified>
</cp:coreProperties>
</file>