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26857DC-DB0D-484D-A116-B302FA8FA4A9}" xr6:coauthVersionLast="47" xr6:coauthVersionMax="47" xr10:uidLastSave="{00000000-0000-0000-0000-000000000000}"/>
  <bookViews>
    <workbookView xWindow="-108" yWindow="-108" windowWidth="23256" windowHeight="12576" activeTab="1" xr2:uid="{543179D5-D9B2-452E-AB54-2C523DB11FC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2" l="1"/>
  <c r="X15" i="2"/>
  <c r="W15" i="2"/>
  <c r="V15" i="2"/>
  <c r="U15" i="2"/>
  <c r="T15" i="2"/>
  <c r="S15" i="2"/>
  <c r="S27" i="2" s="1"/>
  <c r="R15" i="2"/>
  <c r="R27" i="2" s="1"/>
  <c r="Q15" i="2"/>
  <c r="Q27" i="2" s="1"/>
  <c r="T28" i="2"/>
  <c r="Y27" i="2"/>
  <c r="X27" i="2"/>
  <c r="W27" i="2"/>
  <c r="V27" i="2"/>
  <c r="U27" i="2"/>
  <c r="T27" i="2"/>
  <c r="P27" i="2"/>
  <c r="O27" i="2"/>
  <c r="Y26" i="2"/>
  <c r="X26" i="2"/>
  <c r="W26" i="2"/>
  <c r="V26" i="2"/>
  <c r="U26" i="2"/>
  <c r="T26" i="2"/>
  <c r="S26" i="2"/>
  <c r="R26" i="2"/>
  <c r="Q26" i="2"/>
  <c r="Y25" i="2"/>
  <c r="X25" i="2"/>
  <c r="W25" i="2"/>
  <c r="V25" i="2"/>
  <c r="U25" i="2"/>
  <c r="T25" i="2"/>
  <c r="S25" i="2"/>
  <c r="R25" i="2"/>
  <c r="Q25" i="2"/>
  <c r="P25" i="2"/>
  <c r="O25" i="2"/>
  <c r="Y24" i="2"/>
  <c r="X24" i="2"/>
  <c r="W24" i="2"/>
  <c r="V24" i="2"/>
  <c r="U24" i="2"/>
  <c r="T24" i="2"/>
  <c r="S24" i="2"/>
  <c r="R24" i="2"/>
  <c r="Q24" i="2"/>
  <c r="P24" i="2"/>
  <c r="O24" i="2"/>
  <c r="Y23" i="2"/>
  <c r="X23" i="2"/>
  <c r="W23" i="2"/>
  <c r="V23" i="2"/>
  <c r="U23" i="2"/>
  <c r="T23" i="2"/>
  <c r="S23" i="2"/>
  <c r="R23" i="2"/>
  <c r="Q23" i="2"/>
  <c r="N27" i="2"/>
  <c r="Y22" i="2"/>
  <c r="X22" i="2"/>
  <c r="W22" i="2"/>
  <c r="V22" i="2"/>
  <c r="U22" i="2"/>
  <c r="T22" i="2"/>
  <c r="S22" i="2"/>
  <c r="R22" i="2"/>
  <c r="H21" i="2"/>
  <c r="N17" i="2"/>
  <c r="AC28" i="2"/>
  <c r="AC25" i="2"/>
  <c r="Y11" i="2"/>
  <c r="Y14" i="2" s="1"/>
  <c r="Y17" i="2" s="1"/>
  <c r="Y19" i="2" s="1"/>
  <c r="X11" i="2"/>
  <c r="X14" i="2" s="1"/>
  <c r="X17" i="2" s="1"/>
  <c r="X19" i="2" s="1"/>
  <c r="W11" i="2"/>
  <c r="W14" i="2" s="1"/>
  <c r="W17" i="2" s="1"/>
  <c r="W19" i="2" s="1"/>
  <c r="V11" i="2"/>
  <c r="V14" i="2" s="1"/>
  <c r="V17" i="2" s="1"/>
  <c r="V19" i="2" s="1"/>
  <c r="U11" i="2"/>
  <c r="U14" i="2" s="1"/>
  <c r="U17" i="2" s="1"/>
  <c r="U19" i="2" s="1"/>
  <c r="T11" i="2"/>
  <c r="T14" i="2" s="1"/>
  <c r="T17" i="2" s="1"/>
  <c r="T19" i="2" s="1"/>
  <c r="S11" i="2"/>
  <c r="S14" i="2" s="1"/>
  <c r="R11" i="2"/>
  <c r="R14" i="2" s="1"/>
  <c r="R17" i="2" s="1"/>
  <c r="R19" i="2" s="1"/>
  <c r="Q14" i="2"/>
  <c r="Q17" i="2" s="1"/>
  <c r="Q19" i="2" s="1"/>
  <c r="Q11" i="2"/>
  <c r="P8" i="2"/>
  <c r="P11" i="2" s="1"/>
  <c r="P14" i="2" s="1"/>
  <c r="P17" i="2" s="1"/>
  <c r="P19" i="2" s="1"/>
  <c r="O8" i="2"/>
  <c r="O11" i="2" s="1"/>
  <c r="O14" i="2" s="1"/>
  <c r="O17" i="2" s="1"/>
  <c r="O19" i="2" s="1"/>
  <c r="N8" i="2"/>
  <c r="N11" i="2" s="1"/>
  <c r="N14" i="2" s="1"/>
  <c r="Y8" i="2"/>
  <c r="X8" i="2"/>
  <c r="W8" i="2"/>
  <c r="V8" i="2"/>
  <c r="U8" i="2"/>
  <c r="T8" i="2"/>
  <c r="S8" i="2"/>
  <c r="R8" i="2"/>
  <c r="Y6" i="2"/>
  <c r="X6" i="2"/>
  <c r="W6" i="2"/>
  <c r="V6" i="2"/>
  <c r="U6" i="2"/>
  <c r="T6" i="2"/>
  <c r="S6" i="2"/>
  <c r="R6" i="2"/>
  <c r="Q8" i="2"/>
  <c r="Q7" i="2" s="1"/>
  <c r="Q6" i="2"/>
  <c r="O3" i="2"/>
  <c r="O21" i="2" s="1"/>
  <c r="N21" i="2"/>
  <c r="D8" i="2"/>
  <c r="D11" i="2" s="1"/>
  <c r="D14" i="2" s="1"/>
  <c r="D17" i="2" s="1"/>
  <c r="D19" i="2" s="1"/>
  <c r="H8" i="2"/>
  <c r="H11" i="2" s="1"/>
  <c r="H14" i="2" s="1"/>
  <c r="H17" i="2" s="1"/>
  <c r="H19" i="2" s="1"/>
  <c r="D9" i="1"/>
  <c r="D8" i="1"/>
  <c r="D6" i="1"/>
  <c r="D5" i="1"/>
  <c r="G3" i="1"/>
  <c r="U28" i="2" l="1"/>
  <c r="V28" i="2"/>
  <c r="W28" i="2"/>
  <c r="X28" i="2"/>
  <c r="Z17" i="2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Y28" i="2"/>
  <c r="S17" i="2"/>
  <c r="R28" i="2"/>
  <c r="Q28" i="2"/>
  <c r="N19" i="2"/>
  <c r="R7" i="2"/>
  <c r="W7" i="2"/>
  <c r="X7" i="2"/>
  <c r="Y7" i="2"/>
  <c r="S7" i="2"/>
  <c r="T7" i="2"/>
  <c r="U7" i="2"/>
  <c r="V7" i="2"/>
  <c r="P3" i="2"/>
  <c r="S19" i="2" l="1"/>
  <c r="S28" i="2"/>
  <c r="AC24" i="2"/>
  <c r="AC26" i="2" s="1"/>
  <c r="AC27" i="2" s="1"/>
  <c r="AC29" i="2" s="1"/>
  <c r="P21" i="2"/>
  <c r="Q3" i="2"/>
  <c r="Q21" i="2" l="1"/>
  <c r="R3" i="2"/>
  <c r="R21" i="2" l="1"/>
  <c r="S3" i="2"/>
  <c r="T3" i="2" l="1"/>
  <c r="S21" i="2"/>
  <c r="T21" i="2" l="1"/>
  <c r="U3" i="2"/>
  <c r="U21" i="2" l="1"/>
  <c r="V3" i="2"/>
  <c r="V21" i="2" l="1"/>
  <c r="W3" i="2"/>
  <c r="W21" i="2" l="1"/>
  <c r="X3" i="2"/>
  <c r="Y3" i="2" l="1"/>
  <c r="Y21" i="2" s="1"/>
  <c r="X21" i="2"/>
</calcChain>
</file>

<file path=xl/sharedStrings.xml><?xml version="1.0" encoding="utf-8"?>
<sst xmlns="http://schemas.openxmlformats.org/spreadsheetml/2006/main" count="53" uniqueCount="51">
  <si>
    <t>OKLO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</si>
  <si>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</si>
  <si>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</si>
  <si>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</si>
  <si>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</si>
  <si>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</si>
  <si>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</si>
  <si>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</si>
  <si>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</si>
  <si>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</si>
  <si>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</si>
  <si>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</si>
  <si>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Q123</t>
  </si>
  <si>
    <t>GWh</t>
  </si>
  <si>
    <t>Cost of sales</t>
  </si>
  <si>
    <t>Gross profit</t>
  </si>
  <si>
    <t>R&amp;D</t>
  </si>
  <si>
    <t>G&amp;A</t>
  </si>
  <si>
    <t>Operating profit</t>
  </si>
  <si>
    <t>Impairment</t>
  </si>
  <si>
    <t>Interest income</t>
  </si>
  <si>
    <t>Pretax profit</t>
  </si>
  <si>
    <t>Taxes</t>
  </si>
  <si>
    <t>Net profit</t>
  </si>
  <si>
    <t>EPS</t>
  </si>
  <si>
    <t>MI</t>
  </si>
  <si>
    <t>Q223</t>
  </si>
  <si>
    <t>Q323</t>
  </si>
  <si>
    <t>Q423</t>
  </si>
  <si>
    <t>Q124</t>
  </si>
  <si>
    <t>Q224</t>
  </si>
  <si>
    <t>Q324</t>
  </si>
  <si>
    <t>Q424</t>
  </si>
  <si>
    <t>GWh y/y</t>
  </si>
  <si>
    <t>MWe</t>
  </si>
  <si>
    <t>Revenue y/y</t>
  </si>
  <si>
    <t>Gross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</si>
  <si>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</si>
  <si>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</si>
  <si>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</si>
  <si>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</si>
  <si>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</si>
  <si>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</si>
  <si>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</si>
  <si>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</si>
  <si>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</si>
  <si>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Heavily overvalued</t>
  </si>
  <si>
    <t>R&amp;D y/y</t>
  </si>
  <si>
    <t>G&amp;A y/y</t>
  </si>
  <si>
    <t>Operating Margin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</si>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</sst>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C8E2-8783-4FD6-BA1C-EDF9B42ABC38}">
  <dimension ref="B2:H9"/>
  <sheetViews>
    <sheetView workbookViewId="0">
      <selection activeCell="K7" sqref="K7"/>
    </sheetView>
  </sheetViews>
  <sheetFormatPr defaultRowHeight="14.4" x14ac:dyDescent="0.3"/>
  <cols>
    <col min="6" max="8" width="15.5546875" style="3" customWidth="1"/>
  </cols>
  <sheetData>
    <row r="2" spans="2:8" x14ac:dyDescent="0.3">
      <c r="F2" s="3" t="s">
        <v>8</v>
      </c>
      <c r="G2" s="3" t="s">
        <v>9</v>
      </c>
      <c r="H2" s="3" t="s">
        <v>10</v>
      </c>
    </row>
    <row r="3" spans="2:8" x14ac:dyDescent="0.3">
      <c r="B3" s="1" t="s">
        <v>0</v>
      </c>
      <c r="C3" t="s">
        <v>1</v>
      </c>
      <c r="D3" s="6">
        <v>11.19</v>
      </c>
      <c r="F3" s="4">
        <v>45571</v>
      </c>
      <c r="G3" s="4">
        <f ca="1">TODAY()</f>
        <v>45770</v>
      </c>
      <c r="H3" s="4">
        <v>45623</v>
      </c>
    </row>
    <row r="4" spans="2:8" x14ac:dyDescent="0.3">
      <c r="C4" t="s">
        <v>2</v>
      </c>
      <c r="D4" s="5">
        <v>122.1</v>
      </c>
    </row>
    <row r="5" spans="2:8" x14ac:dyDescent="0.3">
      <c r="C5" t="s">
        <v>3</v>
      </c>
      <c r="D5" s="5">
        <f>D3*D4</f>
        <v>1366.299</v>
      </c>
    </row>
    <row r="6" spans="2:8" x14ac:dyDescent="0.3">
      <c r="C6" t="s">
        <v>4</v>
      </c>
      <c r="D6" s="5">
        <f>105.7+129.6+59.3</f>
        <v>294.60000000000002</v>
      </c>
    </row>
    <row r="7" spans="2:8" x14ac:dyDescent="0.3">
      <c r="C7" t="s">
        <v>5</v>
      </c>
      <c r="D7" s="5">
        <v>0</v>
      </c>
    </row>
    <row r="8" spans="2:8" x14ac:dyDescent="0.3">
      <c r="C8" t="s">
        <v>6</v>
      </c>
      <c r="D8" s="5">
        <f>D6-D7</f>
        <v>294.60000000000002</v>
      </c>
    </row>
    <row r="9" spans="2:8" x14ac:dyDescent="0.3">
      <c r="C9" t="s">
        <v>7</v>
      </c>
      <c r="D9" s="5">
        <f>D5-D8</f>
        <v>1071.6990000000001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8B55-EA2A-4C8A-AE37-E232F3C44AA9}">
  <dimension ref="B2:EN30"/>
  <sheetViews>
    <sheetView tabSelected="1" workbookViewId="0">
      <pane xSplit="2" ySplit="2" topLeftCell="L5" activePane="bottomRight" state="frozen"/>
      <selection pane="topRight" activeCell="C1" sqref="C1"/>
      <selection pane="bottomLeft" activeCell="A3" sqref="A3"/>
      <selection pane="bottomRight" activeCell="AD30" sqref="AD30"/>
    </sheetView>
  </sheetViews>
  <sheetFormatPr defaultRowHeight="14.4" x14ac:dyDescent="0.3"/>
  <cols>
    <col min="2" max="2" width="15.88671875" customWidth="1"/>
    <col min="28" max="28" width="11.88671875" bestFit="1" customWidth="1"/>
    <col min="29" max="29" width="16.44140625" bestFit="1" customWidth="1"/>
  </cols>
  <sheetData>
    <row r="2" spans="2:25" x14ac:dyDescent="0.3">
      <c r="C2" s="2" t="s">
        <v>12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L2">
        <v>2022</v>
      </c>
      <c r="M2">
        <v>2023</v>
      </c>
      <c r="N2">
        <v>2024</v>
      </c>
      <c r="O2">
        <v>2025</v>
      </c>
      <c r="P2">
        <v>2026</v>
      </c>
      <c r="Q2">
        <v>2027</v>
      </c>
      <c r="R2">
        <v>2028</v>
      </c>
      <c r="S2">
        <v>2029</v>
      </c>
      <c r="T2">
        <v>2030</v>
      </c>
      <c r="U2">
        <v>2031</v>
      </c>
      <c r="V2">
        <v>2032</v>
      </c>
      <c r="W2">
        <v>2033</v>
      </c>
      <c r="X2">
        <v>2034</v>
      </c>
      <c r="Y2">
        <v>2035</v>
      </c>
    </row>
    <row r="3" spans="2:25" x14ac:dyDescent="0.3">
      <c r="B3" t="s">
        <v>13</v>
      </c>
      <c r="C3" s="2"/>
      <c r="D3">
        <v>700</v>
      </c>
      <c r="H3">
        <v>1350</v>
      </c>
      <c r="L3" s="5"/>
      <c r="M3" s="5">
        <v>700</v>
      </c>
      <c r="N3" s="5">
        <v>1350</v>
      </c>
      <c r="O3" s="5">
        <f>N3*1.5</f>
        <v>2025</v>
      </c>
      <c r="P3" s="5">
        <f>O3*1.25</f>
        <v>2531.25</v>
      </c>
      <c r="Q3" s="5">
        <f>P3*1.2</f>
        <v>3037.5</v>
      </c>
      <c r="R3" s="5">
        <f>Q3*1.15</f>
        <v>3493.1249999999995</v>
      </c>
      <c r="S3" s="5">
        <f>R3*1.1</f>
        <v>3842.4375</v>
      </c>
      <c r="T3" s="5">
        <f>S3*1.05</f>
        <v>4034.5593750000003</v>
      </c>
      <c r="U3" s="5">
        <f>T3*1.04</f>
        <v>4195.9417500000009</v>
      </c>
      <c r="V3" s="5">
        <f>U3*1.03</f>
        <v>4321.8200025000006</v>
      </c>
      <c r="W3" s="5">
        <f>V3*1.02</f>
        <v>4408.2564025500005</v>
      </c>
      <c r="X3" s="5">
        <f t="shared" ref="X3:Y3" si="0">W3*1.02</f>
        <v>4496.421530601001</v>
      </c>
      <c r="Y3" s="5">
        <f t="shared" si="0"/>
        <v>4586.3499612130208</v>
      </c>
    </row>
    <row r="4" spans="2:25" x14ac:dyDescent="0.3">
      <c r="B4" t="s">
        <v>34</v>
      </c>
      <c r="C4" s="2"/>
      <c r="H4">
        <v>700</v>
      </c>
      <c r="L4" s="5"/>
      <c r="M4" s="5"/>
      <c r="N4">
        <v>700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2:25" x14ac:dyDescent="0.3">
      <c r="C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2:25" s="1" customFormat="1" x14ac:dyDescent="0.3">
      <c r="B6" s="1" t="s">
        <v>11</v>
      </c>
      <c r="D6" s="8">
        <v>0</v>
      </c>
      <c r="H6" s="8">
        <v>0</v>
      </c>
      <c r="L6" s="8"/>
      <c r="M6" s="8"/>
      <c r="N6" s="8">
        <v>0</v>
      </c>
      <c r="O6" s="8">
        <v>0</v>
      </c>
      <c r="P6" s="8">
        <v>0</v>
      </c>
      <c r="Q6" s="8">
        <f>Q3*0.5</f>
        <v>1518.75</v>
      </c>
      <c r="R6" s="8">
        <f t="shared" ref="R6:Y6" si="1">R3*0.5</f>
        <v>1746.5624999999998</v>
      </c>
      <c r="S6" s="8">
        <f t="shared" si="1"/>
        <v>1921.21875</v>
      </c>
      <c r="T6" s="8">
        <f t="shared" si="1"/>
        <v>2017.2796875000001</v>
      </c>
      <c r="U6" s="8">
        <f t="shared" si="1"/>
        <v>2097.9708750000004</v>
      </c>
      <c r="V6" s="8">
        <f t="shared" si="1"/>
        <v>2160.9100012500003</v>
      </c>
      <c r="W6" s="8">
        <f t="shared" si="1"/>
        <v>2204.1282012750003</v>
      </c>
      <c r="X6" s="8">
        <f t="shared" si="1"/>
        <v>2248.2107653005005</v>
      </c>
      <c r="Y6" s="8">
        <f t="shared" si="1"/>
        <v>2293.1749806065104</v>
      </c>
    </row>
    <row r="7" spans="2:25" x14ac:dyDescent="0.3">
      <c r="B7" t="s">
        <v>14</v>
      </c>
      <c r="D7" s="5">
        <v>0</v>
      </c>
      <c r="H7" s="5">
        <v>0</v>
      </c>
      <c r="L7" s="5"/>
      <c r="M7" s="5"/>
      <c r="N7" s="5">
        <v>0</v>
      </c>
      <c r="O7" s="5">
        <v>0</v>
      </c>
      <c r="P7" s="5">
        <v>0</v>
      </c>
      <c r="Q7" s="5">
        <f>Q6-Q8</f>
        <v>1366.875</v>
      </c>
      <c r="R7" s="5">
        <f t="shared" ref="R7:Y7" si="2">R6-R8</f>
        <v>1536.9749999999999</v>
      </c>
      <c r="S7" s="5">
        <f t="shared" si="2"/>
        <v>1671.4603124999999</v>
      </c>
      <c r="T7" s="5">
        <f t="shared" si="2"/>
        <v>1734.8605312500001</v>
      </c>
      <c r="U7" s="5">
        <f t="shared" si="2"/>
        <v>1783.2752437500003</v>
      </c>
      <c r="V7" s="5">
        <f t="shared" si="2"/>
        <v>1836.7735010625001</v>
      </c>
      <c r="W7" s="5">
        <f t="shared" si="2"/>
        <v>1873.5089710837501</v>
      </c>
      <c r="X7" s="5">
        <f t="shared" si="2"/>
        <v>1910.9791505054254</v>
      </c>
      <c r="Y7" s="5">
        <f t="shared" si="2"/>
        <v>1949.1987335155338</v>
      </c>
    </row>
    <row r="8" spans="2:25" s="1" customFormat="1" x14ac:dyDescent="0.3">
      <c r="B8" s="1" t="s">
        <v>15</v>
      </c>
      <c r="D8" s="8">
        <f>D6-D7</f>
        <v>0</v>
      </c>
      <c r="H8" s="8">
        <f>H6-H7</f>
        <v>0</v>
      </c>
      <c r="L8" s="8"/>
      <c r="M8" s="8"/>
      <c r="N8" s="8">
        <f>N6-N7</f>
        <v>0</v>
      </c>
      <c r="O8" s="8">
        <f>O6-O7</f>
        <v>0</v>
      </c>
      <c r="P8" s="8">
        <f>P6-P7</f>
        <v>0</v>
      </c>
      <c r="Q8" s="8">
        <f>Q6*0.1</f>
        <v>151.875</v>
      </c>
      <c r="R8" s="8">
        <f>R6*0.12</f>
        <v>209.58749999999998</v>
      </c>
      <c r="S8" s="8">
        <f>S6*0.13</f>
        <v>249.75843750000001</v>
      </c>
      <c r="T8" s="8">
        <f>T6*0.14</f>
        <v>282.41915625000007</v>
      </c>
      <c r="U8" s="8">
        <f>U6*0.15</f>
        <v>314.69563125000008</v>
      </c>
      <c r="V8" s="8">
        <f t="shared" ref="V8:Y8" si="3">V6*0.15</f>
        <v>324.13650018750002</v>
      </c>
      <c r="W8" s="8">
        <f t="shared" si="3"/>
        <v>330.61923019125004</v>
      </c>
      <c r="X8" s="8">
        <f t="shared" si="3"/>
        <v>337.23161479507507</v>
      </c>
      <c r="Y8" s="8">
        <f t="shared" si="3"/>
        <v>343.97624709097653</v>
      </c>
    </row>
    <row r="9" spans="2:25" x14ac:dyDescent="0.3">
      <c r="B9" t="s">
        <v>16</v>
      </c>
      <c r="D9" s="5">
        <v>1.8</v>
      </c>
      <c r="H9" s="5">
        <v>10.7</v>
      </c>
      <c r="L9" s="5"/>
      <c r="M9" s="5"/>
      <c r="N9" s="5">
        <v>50</v>
      </c>
      <c r="O9" s="5">
        <v>60</v>
      </c>
      <c r="P9" s="5">
        <v>70</v>
      </c>
      <c r="Q9" s="5">
        <v>80</v>
      </c>
      <c r="R9" s="5">
        <v>80</v>
      </c>
      <c r="S9" s="5">
        <v>80</v>
      </c>
      <c r="T9" s="5">
        <v>80</v>
      </c>
      <c r="U9" s="5">
        <v>80</v>
      </c>
      <c r="V9" s="5">
        <v>80</v>
      </c>
      <c r="W9" s="5">
        <v>80</v>
      </c>
      <c r="X9" s="5">
        <v>80</v>
      </c>
      <c r="Y9" s="5">
        <v>80</v>
      </c>
    </row>
    <row r="10" spans="2:25" x14ac:dyDescent="0.3">
      <c r="B10" t="s">
        <v>17</v>
      </c>
      <c r="D10" s="5">
        <v>1.5</v>
      </c>
      <c r="H10" s="5">
        <v>7.1</v>
      </c>
      <c r="L10" s="5"/>
      <c r="M10" s="5"/>
      <c r="N10" s="5">
        <v>32</v>
      </c>
      <c r="O10" s="5">
        <v>40</v>
      </c>
      <c r="P10" s="5">
        <v>50</v>
      </c>
      <c r="Q10" s="5">
        <v>55</v>
      </c>
      <c r="R10" s="5">
        <v>55</v>
      </c>
      <c r="S10" s="5">
        <v>55</v>
      </c>
      <c r="T10" s="5">
        <v>55</v>
      </c>
      <c r="U10" s="5">
        <v>55</v>
      </c>
      <c r="V10" s="5">
        <v>55</v>
      </c>
      <c r="W10" s="5">
        <v>55</v>
      </c>
      <c r="X10" s="5">
        <v>55</v>
      </c>
      <c r="Y10" s="5">
        <v>55</v>
      </c>
    </row>
    <row r="11" spans="2:25" s="1" customFormat="1" x14ac:dyDescent="0.3">
      <c r="B11" s="1" t="s">
        <v>18</v>
      </c>
      <c r="D11" s="8">
        <f>D8-D9-D10</f>
        <v>-3.3</v>
      </c>
      <c r="H11" s="8">
        <f>H8-H9-H10</f>
        <v>-17.799999999999997</v>
      </c>
      <c r="L11" s="8"/>
      <c r="M11" s="8"/>
      <c r="N11" s="8">
        <f>N8-N9-N10</f>
        <v>-82</v>
      </c>
      <c r="O11" s="8">
        <f>O8-O9-O10</f>
        <v>-100</v>
      </c>
      <c r="P11" s="8">
        <f>P8-P9-P10</f>
        <v>-120</v>
      </c>
      <c r="Q11" s="8">
        <f>Q8-Q9-Q10</f>
        <v>16.875</v>
      </c>
      <c r="R11" s="8">
        <f t="shared" ref="R11:Y11" si="4">R8-R9-R10</f>
        <v>74.587499999999977</v>
      </c>
      <c r="S11" s="8">
        <f t="shared" si="4"/>
        <v>114.75843750000001</v>
      </c>
      <c r="T11" s="8">
        <f t="shared" si="4"/>
        <v>147.41915625000007</v>
      </c>
      <c r="U11" s="8">
        <f t="shared" si="4"/>
        <v>179.69563125000008</v>
      </c>
      <c r="V11" s="8">
        <f t="shared" si="4"/>
        <v>189.13650018750002</v>
      </c>
      <c r="W11" s="8">
        <f t="shared" si="4"/>
        <v>195.61923019125004</v>
      </c>
      <c r="X11" s="8">
        <f t="shared" si="4"/>
        <v>202.23161479507507</v>
      </c>
      <c r="Y11" s="8">
        <f t="shared" si="4"/>
        <v>208.97624709097653</v>
      </c>
    </row>
    <row r="12" spans="2:25" x14ac:dyDescent="0.3">
      <c r="B12" t="s">
        <v>19</v>
      </c>
      <c r="D12" s="5">
        <v>1.1000000000000001</v>
      </c>
      <c r="H12" s="5">
        <v>13.1</v>
      </c>
      <c r="L12" s="5"/>
      <c r="M12" s="5"/>
      <c r="N12" s="5">
        <v>13.1</v>
      </c>
      <c r="O12" s="5">
        <v>13.1</v>
      </c>
      <c r="P12" s="5">
        <v>13.1</v>
      </c>
      <c r="Q12" s="5">
        <v>13.1</v>
      </c>
      <c r="R12" s="5">
        <v>13.1</v>
      </c>
      <c r="S12" s="5">
        <v>13.1</v>
      </c>
      <c r="T12" s="5">
        <v>13.1</v>
      </c>
      <c r="U12" s="5">
        <v>13.1</v>
      </c>
      <c r="V12" s="5">
        <v>13.1</v>
      </c>
      <c r="W12" s="5">
        <v>13.1</v>
      </c>
      <c r="X12" s="5">
        <v>13.1</v>
      </c>
      <c r="Y12" s="5">
        <v>13.1</v>
      </c>
    </row>
    <row r="13" spans="2:25" x14ac:dyDescent="0.3">
      <c r="B13" t="s">
        <v>20</v>
      </c>
      <c r="D13" s="5">
        <v>0</v>
      </c>
      <c r="H13" s="5">
        <v>-1.7</v>
      </c>
      <c r="L13" s="5"/>
      <c r="M13" s="5"/>
      <c r="N13" s="5">
        <v>-1.7</v>
      </c>
      <c r="O13" s="5">
        <v>-1.7</v>
      </c>
      <c r="P13" s="5">
        <v>-1.7</v>
      </c>
      <c r="Q13" s="5">
        <v>-1.7</v>
      </c>
      <c r="R13" s="5">
        <v>-1.7</v>
      </c>
      <c r="S13" s="5">
        <v>-1.7</v>
      </c>
      <c r="T13" s="5">
        <v>-1.7</v>
      </c>
      <c r="U13" s="5">
        <v>-1.7</v>
      </c>
      <c r="V13" s="5">
        <v>-1.7</v>
      </c>
      <c r="W13" s="5">
        <v>-1.7</v>
      </c>
      <c r="X13" s="5">
        <v>-1.7</v>
      </c>
      <c r="Y13" s="5">
        <v>-1.7</v>
      </c>
    </row>
    <row r="14" spans="2:25" s="1" customFormat="1" x14ac:dyDescent="0.3">
      <c r="B14" s="1" t="s">
        <v>21</v>
      </c>
      <c r="D14" s="8">
        <f>D11-D12-D13</f>
        <v>-4.4000000000000004</v>
      </c>
      <c r="H14" s="8">
        <f>H11-H12-H13</f>
        <v>-29.2</v>
      </c>
      <c r="L14" s="8"/>
      <c r="M14" s="8"/>
      <c r="N14" s="8">
        <f>N11-N12-N13</f>
        <v>-93.399999999999991</v>
      </c>
      <c r="O14" s="8">
        <f>O11-O12-O13</f>
        <v>-111.39999999999999</v>
      </c>
      <c r="P14" s="8">
        <f>P11-P12-P13</f>
        <v>-131.4</v>
      </c>
      <c r="Q14" s="8">
        <f>Q11-Q12-Q13</f>
        <v>5.4750000000000005</v>
      </c>
      <c r="R14" s="8">
        <f t="shared" ref="R14:Y14" si="5">R11-R12-R13</f>
        <v>63.187499999999979</v>
      </c>
      <c r="S14" s="8">
        <f t="shared" si="5"/>
        <v>103.35843750000002</v>
      </c>
      <c r="T14" s="8">
        <f t="shared" si="5"/>
        <v>136.01915625000007</v>
      </c>
      <c r="U14" s="8">
        <f t="shared" si="5"/>
        <v>168.29563125000007</v>
      </c>
      <c r="V14" s="8">
        <f t="shared" si="5"/>
        <v>177.73650018750001</v>
      </c>
      <c r="W14" s="8">
        <f t="shared" si="5"/>
        <v>184.21923019125003</v>
      </c>
      <c r="X14" s="8">
        <f t="shared" si="5"/>
        <v>190.83161479507507</v>
      </c>
      <c r="Y14" s="8">
        <f t="shared" si="5"/>
        <v>197.57624709097652</v>
      </c>
    </row>
    <row r="15" spans="2:25" x14ac:dyDescent="0.3">
      <c r="B15" t="s">
        <v>22</v>
      </c>
      <c r="D15" s="5">
        <v>0</v>
      </c>
      <c r="H15" s="5">
        <v>0.2</v>
      </c>
      <c r="L15" s="5"/>
      <c r="M15" s="5"/>
      <c r="N15" s="5">
        <v>0.2</v>
      </c>
      <c r="O15" s="5">
        <v>0.2</v>
      </c>
      <c r="P15" s="5">
        <v>0.2</v>
      </c>
      <c r="Q15" s="5">
        <f>Q14*0.2</f>
        <v>1.0950000000000002</v>
      </c>
      <c r="R15" s="5">
        <f t="shared" ref="R15:Y15" si="6">R14*0.2</f>
        <v>12.637499999999996</v>
      </c>
      <c r="S15" s="5">
        <f t="shared" si="6"/>
        <v>20.671687500000004</v>
      </c>
      <c r="T15" s="5">
        <f t="shared" si="6"/>
        <v>27.203831250000015</v>
      </c>
      <c r="U15" s="5">
        <f t="shared" si="6"/>
        <v>33.659126250000014</v>
      </c>
      <c r="V15" s="5">
        <f t="shared" si="6"/>
        <v>35.547300037500001</v>
      </c>
      <c r="W15" s="5">
        <f t="shared" si="6"/>
        <v>36.843846038250007</v>
      </c>
      <c r="X15" s="5">
        <f t="shared" si="6"/>
        <v>38.166322959015012</v>
      </c>
      <c r="Y15" s="5">
        <f t="shared" si="6"/>
        <v>39.51524941819531</v>
      </c>
    </row>
    <row r="16" spans="2:25" x14ac:dyDescent="0.3">
      <c r="B16" t="s">
        <v>25</v>
      </c>
      <c r="D16" s="5">
        <v>0</v>
      </c>
      <c r="H16" s="5">
        <v>487.9</v>
      </c>
      <c r="L16" s="5"/>
      <c r="M16" s="5"/>
      <c r="N16" s="5">
        <v>487.9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2:144" s="1" customFormat="1" x14ac:dyDescent="0.3">
      <c r="B17" s="1" t="s">
        <v>23</v>
      </c>
      <c r="D17" s="8">
        <f>D14-D15-D16</f>
        <v>-4.4000000000000004</v>
      </c>
      <c r="H17" s="8">
        <f>H14-H15-H16</f>
        <v>-517.29999999999995</v>
      </c>
      <c r="L17" s="8"/>
      <c r="M17" s="8"/>
      <c r="N17" s="8">
        <f>N14-N15-N16</f>
        <v>-581.5</v>
      </c>
      <c r="O17" s="8">
        <f>O14-O15-O16</f>
        <v>-111.6</v>
      </c>
      <c r="P17" s="8">
        <f>P14-P15-P16</f>
        <v>-131.6</v>
      </c>
      <c r="Q17" s="8">
        <f>Q14-Q15-Q16</f>
        <v>4.3800000000000008</v>
      </c>
      <c r="R17" s="8">
        <f t="shared" ref="R17:Y17" si="7">R14-R15-R16</f>
        <v>50.549999999999983</v>
      </c>
      <c r="S17" s="8">
        <f t="shared" si="7"/>
        <v>82.686750000000018</v>
      </c>
      <c r="T17" s="8">
        <f t="shared" si="7"/>
        <v>108.81532500000006</v>
      </c>
      <c r="U17" s="8">
        <f t="shared" si="7"/>
        <v>134.63650500000006</v>
      </c>
      <c r="V17" s="8">
        <f t="shared" si="7"/>
        <v>142.18920015</v>
      </c>
      <c r="W17" s="8">
        <f t="shared" si="7"/>
        <v>147.37538415300003</v>
      </c>
      <c r="X17" s="8">
        <f t="shared" si="7"/>
        <v>152.66529183606005</v>
      </c>
      <c r="Y17" s="8">
        <f t="shared" si="7"/>
        <v>158.06099767278121</v>
      </c>
      <c r="Z17" s="1">
        <f>Y17*(1+$AC$22)</f>
        <v>156.48038769605341</v>
      </c>
      <c r="AA17" s="1">
        <f t="shared" ref="AA17:CL17" si="8">Z17*(1+$AC$22)</f>
        <v>154.91558381909289</v>
      </c>
      <c r="AB17" s="1">
        <f t="shared" si="8"/>
        <v>153.36642798090196</v>
      </c>
      <c r="AC17" s="1">
        <f t="shared" si="8"/>
        <v>151.83276370109294</v>
      </c>
      <c r="AD17" s="1">
        <f t="shared" si="8"/>
        <v>150.314436064082</v>
      </c>
      <c r="AE17" s="1">
        <f t="shared" si="8"/>
        <v>148.81129170344119</v>
      </c>
      <c r="AF17" s="1">
        <f t="shared" si="8"/>
        <v>147.32317878640677</v>
      </c>
      <c r="AG17" s="1">
        <f t="shared" si="8"/>
        <v>145.84994699854269</v>
      </c>
      <c r="AH17" s="1">
        <f t="shared" si="8"/>
        <v>144.39144752855725</v>
      </c>
      <c r="AI17" s="1">
        <f t="shared" si="8"/>
        <v>142.94753305327168</v>
      </c>
      <c r="AJ17" s="1">
        <f t="shared" si="8"/>
        <v>141.51805772273897</v>
      </c>
      <c r="AK17" s="1">
        <f t="shared" si="8"/>
        <v>140.10287714551157</v>
      </c>
      <c r="AL17" s="1">
        <f t="shared" si="8"/>
        <v>138.70184837405645</v>
      </c>
      <c r="AM17" s="1">
        <f t="shared" si="8"/>
        <v>137.31482989031588</v>
      </c>
      <c r="AN17" s="1">
        <f t="shared" si="8"/>
        <v>135.94168159141273</v>
      </c>
      <c r="AO17" s="1">
        <f t="shared" si="8"/>
        <v>134.5822647754986</v>
      </c>
      <c r="AP17" s="1">
        <f t="shared" si="8"/>
        <v>133.2364421277436</v>
      </c>
      <c r="AQ17" s="1">
        <f t="shared" si="8"/>
        <v>131.90407770646615</v>
      </c>
      <c r="AR17" s="1">
        <f t="shared" si="8"/>
        <v>130.5850369294015</v>
      </c>
      <c r="AS17" s="1">
        <f t="shared" si="8"/>
        <v>129.27918656010749</v>
      </c>
      <c r="AT17" s="1">
        <f t="shared" si="8"/>
        <v>127.98639469450642</v>
      </c>
      <c r="AU17" s="1">
        <f t="shared" si="8"/>
        <v>126.70653074756135</v>
      </c>
      <c r="AV17" s="1">
        <f t="shared" si="8"/>
        <v>125.43946544008573</v>
      </c>
      <c r="AW17" s="1">
        <f t="shared" si="8"/>
        <v>124.18507078568487</v>
      </c>
      <c r="AX17" s="1">
        <f t="shared" si="8"/>
        <v>122.94322007782802</v>
      </c>
      <c r="AY17" s="1">
        <f t="shared" si="8"/>
        <v>121.71378787704974</v>
      </c>
      <c r="AZ17" s="1">
        <f t="shared" si="8"/>
        <v>120.49664999827924</v>
      </c>
      <c r="BA17" s="1">
        <f t="shared" si="8"/>
        <v>119.29168349829645</v>
      </c>
      <c r="BB17" s="1">
        <f t="shared" si="8"/>
        <v>118.09876666331348</v>
      </c>
      <c r="BC17" s="1">
        <f t="shared" si="8"/>
        <v>116.91777899668035</v>
      </c>
      <c r="BD17" s="1">
        <f t="shared" si="8"/>
        <v>115.74860120671354</v>
      </c>
      <c r="BE17" s="1">
        <f t="shared" si="8"/>
        <v>114.59111519464641</v>
      </c>
      <c r="BF17" s="1">
        <f t="shared" si="8"/>
        <v>113.44520404269994</v>
      </c>
      <c r="BG17" s="1">
        <f t="shared" si="8"/>
        <v>112.31075200227293</v>
      </c>
      <c r="BH17" s="1">
        <f t="shared" si="8"/>
        <v>111.18764448225021</v>
      </c>
      <c r="BI17" s="1">
        <f t="shared" si="8"/>
        <v>110.07576803742771</v>
      </c>
      <c r="BJ17" s="1">
        <f t="shared" si="8"/>
        <v>108.97501035705343</v>
      </c>
      <c r="BK17" s="1">
        <f t="shared" si="8"/>
        <v>107.8852602534829</v>
      </c>
      <c r="BL17" s="1">
        <f t="shared" si="8"/>
        <v>106.80640765094807</v>
      </c>
      <c r="BM17" s="1">
        <f t="shared" si="8"/>
        <v>105.73834357443859</v>
      </c>
      <c r="BN17" s="1">
        <f t="shared" si="8"/>
        <v>104.6809601386942</v>
      </c>
      <c r="BO17" s="1">
        <f t="shared" si="8"/>
        <v>103.63415053730726</v>
      </c>
      <c r="BP17" s="1">
        <f t="shared" si="8"/>
        <v>102.59780903193419</v>
      </c>
      <c r="BQ17" s="1">
        <f t="shared" si="8"/>
        <v>101.57183094161485</v>
      </c>
      <c r="BR17" s="1">
        <f t="shared" si="8"/>
        <v>100.5561126321987</v>
      </c>
      <c r="BS17" s="1">
        <f t="shared" si="8"/>
        <v>99.550551505876712</v>
      </c>
      <c r="BT17" s="1">
        <f t="shared" si="8"/>
        <v>98.555045990817945</v>
      </c>
      <c r="BU17" s="1">
        <f t="shared" si="8"/>
        <v>97.569495530909762</v>
      </c>
      <c r="BV17" s="1">
        <f t="shared" si="8"/>
        <v>96.593800575600667</v>
      </c>
      <c r="BW17" s="1">
        <f t="shared" si="8"/>
        <v>95.627862569844666</v>
      </c>
      <c r="BX17" s="1">
        <f t="shared" si="8"/>
        <v>94.671583944146221</v>
      </c>
      <c r="BY17" s="1">
        <f t="shared" si="8"/>
        <v>93.724868104704754</v>
      </c>
      <c r="BZ17" s="1">
        <f t="shared" si="8"/>
        <v>92.787619423657702</v>
      </c>
      <c r="CA17" s="1">
        <f t="shared" si="8"/>
        <v>91.859743229421127</v>
      </c>
      <c r="CB17" s="1">
        <f t="shared" si="8"/>
        <v>90.941145797126921</v>
      </c>
      <c r="CC17" s="1">
        <f t="shared" si="8"/>
        <v>90.031734339155648</v>
      </c>
      <c r="CD17" s="1">
        <f t="shared" si="8"/>
        <v>89.131416995764084</v>
      </c>
      <c r="CE17" s="1">
        <f t="shared" si="8"/>
        <v>88.240102825806446</v>
      </c>
      <c r="CF17" s="1">
        <f t="shared" si="8"/>
        <v>87.357701797548387</v>
      </c>
      <c r="CG17" s="1">
        <f t="shared" si="8"/>
        <v>86.484124779572909</v>
      </c>
      <c r="CH17" s="1">
        <f t="shared" si="8"/>
        <v>85.619283531777185</v>
      </c>
      <c r="CI17" s="1">
        <f t="shared" si="8"/>
        <v>84.763090696459415</v>
      </c>
      <c r="CJ17" s="1">
        <f t="shared" si="8"/>
        <v>83.915459789494818</v>
      </c>
      <c r="CK17" s="1">
        <f t="shared" si="8"/>
        <v>83.076305191599872</v>
      </c>
      <c r="CL17" s="1">
        <f t="shared" si="8"/>
        <v>82.245542139683877</v>
      </c>
      <c r="CM17" s="1">
        <f t="shared" ref="CM17:EN17" si="9">CL17*(1+$AC$22)</f>
        <v>81.423086718287038</v>
      </c>
      <c r="CN17" s="1">
        <f t="shared" si="9"/>
        <v>80.608855851104167</v>
      </c>
      <c r="CO17" s="1">
        <f t="shared" si="9"/>
        <v>79.802767292593131</v>
      </c>
      <c r="CP17" s="1">
        <f t="shared" si="9"/>
        <v>79.004739619667205</v>
      </c>
      <c r="CQ17" s="1">
        <f t="shared" si="9"/>
        <v>78.214692223470536</v>
      </c>
      <c r="CR17" s="1">
        <f t="shared" si="9"/>
        <v>77.432545301235834</v>
      </c>
      <c r="CS17" s="1">
        <f t="shared" si="9"/>
        <v>76.658219848223482</v>
      </c>
      <c r="CT17" s="1">
        <f t="shared" si="9"/>
        <v>75.891637649741241</v>
      </c>
      <c r="CU17" s="1">
        <f t="shared" si="9"/>
        <v>75.132721273243831</v>
      </c>
      <c r="CV17" s="1">
        <f t="shared" si="9"/>
        <v>74.381394060511397</v>
      </c>
      <c r="CW17" s="1">
        <f t="shared" si="9"/>
        <v>73.637580119906289</v>
      </c>
      <c r="CX17" s="1">
        <f t="shared" si="9"/>
        <v>72.901204318707229</v>
      </c>
      <c r="CY17" s="1">
        <f t="shared" si="9"/>
        <v>72.17219227552016</v>
      </c>
      <c r="CZ17" s="1">
        <f t="shared" si="9"/>
        <v>71.450470352764953</v>
      </c>
      <c r="DA17" s="1">
        <f t="shared" si="9"/>
        <v>70.735965649237301</v>
      </c>
      <c r="DB17" s="1">
        <f t="shared" si="9"/>
        <v>70.028605992744929</v>
      </c>
      <c r="DC17" s="1">
        <f t="shared" si="9"/>
        <v>69.328319932817479</v>
      </c>
      <c r="DD17" s="1">
        <f t="shared" si="9"/>
        <v>68.635036733489301</v>
      </c>
      <c r="DE17" s="1">
        <f t="shared" si="9"/>
        <v>67.948686366154405</v>
      </c>
      <c r="DF17" s="1">
        <f t="shared" si="9"/>
        <v>67.269199502492867</v>
      </c>
      <c r="DG17" s="1">
        <f t="shared" si="9"/>
        <v>66.596507507467933</v>
      </c>
      <c r="DH17" s="1">
        <f t="shared" si="9"/>
        <v>65.930542432393253</v>
      </c>
      <c r="DI17" s="1">
        <f t="shared" si="9"/>
        <v>65.27123700806932</v>
      </c>
      <c r="DJ17" s="1">
        <f t="shared" si="9"/>
        <v>64.618524637988628</v>
      </c>
      <c r="DK17" s="1">
        <f t="shared" si="9"/>
        <v>63.972339391608742</v>
      </c>
      <c r="DL17" s="1">
        <f t="shared" si="9"/>
        <v>63.332615997692656</v>
      </c>
      <c r="DM17" s="1">
        <f t="shared" si="9"/>
        <v>62.699289837715732</v>
      </c>
      <c r="DN17" s="1">
        <f t="shared" si="9"/>
        <v>62.072296939338571</v>
      </c>
      <c r="DO17" s="1">
        <f t="shared" si="9"/>
        <v>61.451573969945187</v>
      </c>
      <c r="DP17" s="1">
        <f t="shared" si="9"/>
        <v>60.837058230245738</v>
      </c>
      <c r="DQ17" s="1">
        <f t="shared" si="9"/>
        <v>60.228687647943282</v>
      </c>
      <c r="DR17" s="1">
        <f t="shared" si="9"/>
        <v>59.62640077146385</v>
      </c>
      <c r="DS17" s="1">
        <f t="shared" si="9"/>
        <v>59.030136763749212</v>
      </c>
      <c r="DT17" s="1">
        <f t="shared" si="9"/>
        <v>58.439835396111718</v>
      </c>
      <c r="DU17" s="1">
        <f t="shared" si="9"/>
        <v>57.855437042150598</v>
      </c>
      <c r="DV17" s="1">
        <f t="shared" si="9"/>
        <v>57.276882671729091</v>
      </c>
      <c r="DW17" s="1">
        <f t="shared" si="9"/>
        <v>56.704113845011797</v>
      </c>
      <c r="DX17" s="1">
        <f t="shared" si="9"/>
        <v>56.137072706561682</v>
      </c>
      <c r="DY17" s="1">
        <f t="shared" si="9"/>
        <v>55.575701979496067</v>
      </c>
      <c r="DZ17" s="1">
        <f t="shared" si="9"/>
        <v>55.019944959701107</v>
      </c>
      <c r="EA17" s="1">
        <f t="shared" si="9"/>
        <v>54.469745510104097</v>
      </c>
      <c r="EB17" s="1">
        <f t="shared" si="9"/>
        <v>53.925048055003053</v>
      </c>
      <c r="EC17" s="1">
        <f t="shared" si="9"/>
        <v>53.385797574453022</v>
      </c>
      <c r="ED17" s="1">
        <f t="shared" si="9"/>
        <v>52.851939598708491</v>
      </c>
      <c r="EE17" s="1">
        <f t="shared" si="9"/>
        <v>52.323420202721408</v>
      </c>
      <c r="EF17" s="1">
        <f t="shared" si="9"/>
        <v>51.800186000694197</v>
      </c>
      <c r="EG17" s="1">
        <f t="shared" si="9"/>
        <v>51.282184140687257</v>
      </c>
      <c r="EH17" s="1">
        <f t="shared" si="9"/>
        <v>50.769362299280381</v>
      </c>
      <c r="EI17" s="1">
        <f t="shared" si="9"/>
        <v>50.261668676287577</v>
      </c>
      <c r="EJ17" s="1">
        <f t="shared" si="9"/>
        <v>49.7590519895247</v>
      </c>
      <c r="EK17" s="1">
        <f t="shared" si="9"/>
        <v>49.261461469629452</v>
      </c>
      <c r="EL17" s="1">
        <f t="shared" si="9"/>
        <v>48.768846854933159</v>
      </c>
      <c r="EM17" s="1">
        <f t="shared" si="9"/>
        <v>48.281158386383829</v>
      </c>
      <c r="EN17" s="1">
        <f t="shared" si="9"/>
        <v>47.798346802519994</v>
      </c>
    </row>
    <row r="18" spans="2:144" x14ac:dyDescent="0.3">
      <c r="B18" t="s">
        <v>2</v>
      </c>
      <c r="D18" s="5">
        <v>122.1</v>
      </c>
      <c r="H18" s="5">
        <v>122.1</v>
      </c>
      <c r="L18" s="5"/>
      <c r="M18" s="5"/>
      <c r="N18" s="5">
        <v>122.1</v>
      </c>
      <c r="O18" s="5">
        <v>122.1</v>
      </c>
      <c r="P18" s="5">
        <v>122.1</v>
      </c>
      <c r="Q18" s="5">
        <v>122.1</v>
      </c>
      <c r="R18" s="5">
        <v>122.1</v>
      </c>
      <c r="S18" s="5">
        <v>122.1</v>
      </c>
      <c r="T18" s="5">
        <v>122.1</v>
      </c>
      <c r="U18" s="5">
        <v>122.1</v>
      </c>
      <c r="V18" s="5">
        <v>122.1</v>
      </c>
      <c r="W18" s="5">
        <v>122.1</v>
      </c>
      <c r="X18" s="5">
        <v>122.1</v>
      </c>
      <c r="Y18" s="5">
        <v>122.1</v>
      </c>
    </row>
    <row r="19" spans="2:144" x14ac:dyDescent="0.3">
      <c r="B19" t="s">
        <v>24</v>
      </c>
      <c r="D19" s="7">
        <f>D17/D18</f>
        <v>-3.6036036036036043E-2</v>
      </c>
      <c r="H19" s="7">
        <f>H17/H18</f>
        <v>-4.2366912366912368</v>
      </c>
      <c r="N19" s="7">
        <f>N17/N18</f>
        <v>-4.7624897624897624</v>
      </c>
      <c r="O19" s="7">
        <f>O17/O18</f>
        <v>-0.91400491400491402</v>
      </c>
      <c r="P19" s="7">
        <f>P17/P18</f>
        <v>-1.0778050778050778</v>
      </c>
      <c r="Q19" s="7">
        <f>Q17/Q18</f>
        <v>3.5872235872235883E-2</v>
      </c>
      <c r="R19" s="7">
        <f t="shared" ref="R19:Y19" si="10">R17/R18</f>
        <v>0.4140049140049139</v>
      </c>
      <c r="S19" s="7">
        <f t="shared" si="10"/>
        <v>0.67720515970515993</v>
      </c>
      <c r="T19" s="7">
        <f t="shared" si="10"/>
        <v>0.89119840294840347</v>
      </c>
      <c r="U19" s="7">
        <f t="shared" si="10"/>
        <v>1.1026740786240792</v>
      </c>
      <c r="V19" s="7">
        <f t="shared" si="10"/>
        <v>1.1645307137592138</v>
      </c>
      <c r="W19" s="7">
        <f t="shared" si="10"/>
        <v>1.2070056032186736</v>
      </c>
      <c r="X19" s="7">
        <f t="shared" si="10"/>
        <v>1.2503299904673224</v>
      </c>
      <c r="Y19" s="7">
        <f t="shared" si="10"/>
        <v>1.2945208654609437</v>
      </c>
    </row>
    <row r="21" spans="2:144" x14ac:dyDescent="0.3">
      <c r="B21" t="s">
        <v>33</v>
      </c>
      <c r="H21" s="9">
        <f>H3/D3-1</f>
        <v>0.9285714285714286</v>
      </c>
      <c r="N21" s="9">
        <f>N3/M3-1</f>
        <v>0.9285714285714286</v>
      </c>
      <c r="O21" s="9">
        <f t="shared" ref="O21:Y21" si="11">O3/N3-1</f>
        <v>0.5</v>
      </c>
      <c r="P21" s="9">
        <f t="shared" si="11"/>
        <v>0.25</v>
      </c>
      <c r="Q21" s="9">
        <f t="shared" si="11"/>
        <v>0.19999999999999996</v>
      </c>
      <c r="R21" s="9">
        <f t="shared" si="11"/>
        <v>0.14999999999999991</v>
      </c>
      <c r="S21" s="9">
        <f t="shared" si="11"/>
        <v>0.10000000000000009</v>
      </c>
      <c r="T21" s="9">
        <f t="shared" si="11"/>
        <v>5.0000000000000044E-2</v>
      </c>
      <c r="U21" s="9">
        <f t="shared" si="11"/>
        <v>4.0000000000000036E-2</v>
      </c>
      <c r="V21" s="9">
        <f t="shared" si="11"/>
        <v>3.0000000000000027E-2</v>
      </c>
      <c r="W21" s="9">
        <f t="shared" si="11"/>
        <v>2.0000000000000018E-2</v>
      </c>
      <c r="X21" s="9">
        <f t="shared" si="11"/>
        <v>2.0000000000000018E-2</v>
      </c>
      <c r="Y21" s="9">
        <f t="shared" si="11"/>
        <v>2.0000000000000018E-2</v>
      </c>
    </row>
    <row r="22" spans="2:144" x14ac:dyDescent="0.3">
      <c r="B22" t="s">
        <v>35</v>
      </c>
      <c r="H22" s="9"/>
      <c r="N22" s="9"/>
      <c r="O22" s="9"/>
      <c r="P22" s="9"/>
      <c r="Q22" s="9"/>
      <c r="R22" s="9">
        <f t="shared" ref="R22:Y22" si="12">R6/Q6-1</f>
        <v>0.14999999999999991</v>
      </c>
      <c r="S22" s="9">
        <f t="shared" si="12"/>
        <v>0.10000000000000009</v>
      </c>
      <c r="T22" s="9">
        <f t="shared" si="12"/>
        <v>5.0000000000000044E-2</v>
      </c>
      <c r="U22" s="9">
        <f t="shared" si="12"/>
        <v>4.0000000000000036E-2</v>
      </c>
      <c r="V22" s="9">
        <f t="shared" si="12"/>
        <v>3.0000000000000027E-2</v>
      </c>
      <c r="W22" s="9">
        <f t="shared" si="12"/>
        <v>2.0000000000000018E-2</v>
      </c>
      <c r="X22" s="9">
        <f t="shared" si="12"/>
        <v>2.0000000000000018E-2</v>
      </c>
      <c r="Y22" s="9">
        <f t="shared" si="12"/>
        <v>2.0000000000000018E-2</v>
      </c>
      <c r="AB22" t="s">
        <v>37</v>
      </c>
      <c r="AC22" s="9">
        <v>-0.01</v>
      </c>
    </row>
    <row r="23" spans="2:144" x14ac:dyDescent="0.3">
      <c r="B23" t="s">
        <v>36</v>
      </c>
      <c r="N23" s="9"/>
      <c r="O23" s="9"/>
      <c r="P23" s="9"/>
      <c r="Q23" s="9">
        <f t="shared" ref="Q23:Y23" si="13">Q8/Q6</f>
        <v>0.1</v>
      </c>
      <c r="R23" s="9">
        <f t="shared" si="13"/>
        <v>0.12000000000000001</v>
      </c>
      <c r="S23" s="9">
        <f t="shared" si="13"/>
        <v>0.13</v>
      </c>
      <c r="T23" s="9">
        <f t="shared" si="13"/>
        <v>0.14000000000000001</v>
      </c>
      <c r="U23" s="9">
        <f t="shared" si="13"/>
        <v>0.15</v>
      </c>
      <c r="V23" s="9">
        <f t="shared" si="13"/>
        <v>0.15</v>
      </c>
      <c r="W23" s="9">
        <f t="shared" si="13"/>
        <v>0.15</v>
      </c>
      <c r="X23" s="9">
        <f t="shared" si="13"/>
        <v>0.15</v>
      </c>
      <c r="Y23" s="9">
        <f t="shared" si="13"/>
        <v>0.15</v>
      </c>
      <c r="AB23" t="s">
        <v>38</v>
      </c>
      <c r="AC23" s="9">
        <v>0.12</v>
      </c>
    </row>
    <row r="24" spans="2:144" x14ac:dyDescent="0.3">
      <c r="B24" t="s">
        <v>47</v>
      </c>
      <c r="N24" s="9"/>
      <c r="O24" s="9">
        <f t="shared" ref="O24:Y24" si="14">O9/N9-1</f>
        <v>0.19999999999999996</v>
      </c>
      <c r="P24" s="9">
        <f t="shared" si="14"/>
        <v>0.16666666666666674</v>
      </c>
      <c r="Q24" s="9">
        <f t="shared" si="14"/>
        <v>0.14285714285714279</v>
      </c>
      <c r="R24" s="9">
        <f t="shared" si="14"/>
        <v>0</v>
      </c>
      <c r="S24" s="9">
        <f t="shared" si="14"/>
        <v>0</v>
      </c>
      <c r="T24" s="9">
        <f t="shared" si="14"/>
        <v>0</v>
      </c>
      <c r="U24" s="9">
        <f t="shared" si="14"/>
        <v>0</v>
      </c>
      <c r="V24" s="9">
        <f t="shared" si="14"/>
        <v>0</v>
      </c>
      <c r="W24" s="9">
        <f t="shared" si="14"/>
        <v>0</v>
      </c>
      <c r="X24" s="9">
        <f t="shared" si="14"/>
        <v>0</v>
      </c>
      <c r="Y24" s="9">
        <f t="shared" si="14"/>
        <v>0</v>
      </c>
      <c r="AB24" t="s">
        <v>39</v>
      </c>
      <c r="AC24" s="5">
        <f>NPV(AC23,N17:EN17)</f>
        <v>-32.732719600700001</v>
      </c>
    </row>
    <row r="25" spans="2:144" x14ac:dyDescent="0.3">
      <c r="B25" t="s">
        <v>48</v>
      </c>
      <c r="N25" s="9"/>
      <c r="O25" s="9">
        <f t="shared" ref="O25:Y25" si="15">O10/N10-1</f>
        <v>0.25</v>
      </c>
      <c r="P25" s="9">
        <f t="shared" si="15"/>
        <v>0.25</v>
      </c>
      <c r="Q25" s="9">
        <f t="shared" si="15"/>
        <v>0.10000000000000009</v>
      </c>
      <c r="R25" s="9">
        <f t="shared" si="15"/>
        <v>0</v>
      </c>
      <c r="S25" s="9">
        <f t="shared" si="15"/>
        <v>0</v>
      </c>
      <c r="T25" s="9">
        <f t="shared" si="15"/>
        <v>0</v>
      </c>
      <c r="U25" s="9">
        <f t="shared" si="15"/>
        <v>0</v>
      </c>
      <c r="V25" s="9">
        <f t="shared" si="15"/>
        <v>0</v>
      </c>
      <c r="W25" s="9">
        <f t="shared" si="15"/>
        <v>0</v>
      </c>
      <c r="X25" s="9">
        <f t="shared" si="15"/>
        <v>0</v>
      </c>
      <c r="Y25" s="9">
        <f t="shared" si="15"/>
        <v>0</v>
      </c>
      <c r="AB25" t="s">
        <v>40</v>
      </c>
      <c r="AC25" s="5">
        <f>Main!D8</f>
        <v>294.60000000000002</v>
      </c>
    </row>
    <row r="26" spans="2:144" x14ac:dyDescent="0.3">
      <c r="B26" t="s">
        <v>49</v>
      </c>
      <c r="N26" s="9"/>
      <c r="O26" s="9"/>
      <c r="P26" s="9"/>
      <c r="Q26" s="9">
        <f t="shared" ref="Q26:Y26" si="16">Q11/Q6</f>
        <v>1.1111111111111112E-2</v>
      </c>
      <c r="R26" s="9">
        <f t="shared" si="16"/>
        <v>4.2705314009661828E-2</v>
      </c>
      <c r="S26" s="9">
        <f t="shared" si="16"/>
        <v>5.9732103645147132E-2</v>
      </c>
      <c r="T26" s="9">
        <f t="shared" si="16"/>
        <v>7.307819394775919E-2</v>
      </c>
      <c r="U26" s="9">
        <f t="shared" si="16"/>
        <v>8.5652109565153067E-2</v>
      </c>
      <c r="V26" s="9">
        <f t="shared" si="16"/>
        <v>8.7526319966167998E-2</v>
      </c>
      <c r="W26" s="9">
        <f t="shared" si="16"/>
        <v>8.8751294084478446E-2</v>
      </c>
      <c r="X26" s="9">
        <f t="shared" si="16"/>
        <v>8.9952249102429854E-2</v>
      </c>
      <c r="Y26" s="9">
        <f t="shared" si="16"/>
        <v>9.1129655982774352E-2</v>
      </c>
      <c r="AB26" t="s">
        <v>41</v>
      </c>
      <c r="AC26" s="5">
        <f>AC24+AC25</f>
        <v>261.8672803993</v>
      </c>
    </row>
    <row r="27" spans="2:144" x14ac:dyDescent="0.3">
      <c r="B27" t="s">
        <v>22</v>
      </c>
      <c r="N27" s="9">
        <f>N15/N14</f>
        <v>-2.1413276231263384E-3</v>
      </c>
      <c r="O27" s="9">
        <f t="shared" ref="O27:Y27" si="17">O15/O14</f>
        <v>-1.7953321364452427E-3</v>
      </c>
      <c r="P27" s="9">
        <f t="shared" si="17"/>
        <v>-1.5220700152207001E-3</v>
      </c>
      <c r="Q27" s="9">
        <f t="shared" si="17"/>
        <v>0.2</v>
      </c>
      <c r="R27" s="9">
        <f t="shared" si="17"/>
        <v>0.2</v>
      </c>
      <c r="S27" s="9">
        <f t="shared" si="17"/>
        <v>0.2</v>
      </c>
      <c r="T27" s="9">
        <f t="shared" si="17"/>
        <v>0.2</v>
      </c>
      <c r="U27" s="9">
        <f t="shared" si="17"/>
        <v>0.2</v>
      </c>
      <c r="V27" s="9">
        <f t="shared" si="17"/>
        <v>0.19999999999999998</v>
      </c>
      <c r="W27" s="9">
        <f t="shared" si="17"/>
        <v>0.2</v>
      </c>
      <c r="X27" s="9">
        <f t="shared" si="17"/>
        <v>0.19999999999999998</v>
      </c>
      <c r="Y27" s="9">
        <f t="shared" si="17"/>
        <v>0.20000000000000004</v>
      </c>
      <c r="AB27" t="s">
        <v>42</v>
      </c>
      <c r="AC27" s="6">
        <f>AC26/Y18</f>
        <v>2.1446951711654383</v>
      </c>
    </row>
    <row r="28" spans="2:144" x14ac:dyDescent="0.3">
      <c r="B28" t="s">
        <v>50</v>
      </c>
      <c r="N28" s="9"/>
      <c r="O28" s="9"/>
      <c r="P28" s="9"/>
      <c r="Q28" s="9">
        <f t="shared" ref="Q28:Y28" si="18">Q17/Q6</f>
        <v>2.8839506172839511E-3</v>
      </c>
      <c r="R28" s="9">
        <f t="shared" si="18"/>
        <v>2.894256575415995E-2</v>
      </c>
      <c r="S28" s="9">
        <f t="shared" si="18"/>
        <v>4.3038696140145424E-2</v>
      </c>
      <c r="T28" s="9">
        <f t="shared" si="18"/>
        <v>5.3941615371567088E-2</v>
      </c>
      <c r="U28" s="9">
        <f t="shared" si="18"/>
        <v>6.4174630164968341E-2</v>
      </c>
      <c r="V28" s="9">
        <f t="shared" si="18"/>
        <v>6.5800611810648862E-2</v>
      </c>
      <c r="W28" s="9">
        <f t="shared" si="18"/>
        <v>6.6863344912400854E-2</v>
      </c>
      <c r="X28" s="9">
        <f t="shared" si="18"/>
        <v>6.7905240110196913E-2</v>
      </c>
      <c r="Y28" s="9">
        <f t="shared" si="18"/>
        <v>6.8926705990389123E-2</v>
      </c>
      <c r="AB28" t="s">
        <v>43</v>
      </c>
      <c r="AC28" s="6">
        <f>Main!D3</f>
        <v>11.19</v>
      </c>
    </row>
    <row r="29" spans="2:144" x14ac:dyDescent="0.3">
      <c r="AB29" s="1" t="s">
        <v>44</v>
      </c>
      <c r="AC29" s="10">
        <f>AC27/AC28-1</f>
        <v>-0.8083382331398179</v>
      </c>
    </row>
    <row r="30" spans="2:144" x14ac:dyDescent="0.3">
      <c r="AB30" t="s">
        <v>45</v>
      </c>
      <c r="AC30" s="2" t="s">
        <v>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2024-10-06T10:35:20Z</dcterms:created>
  <dcterms:modified xsi:type="dcterms:W3CDTF">2025-04-23T19:34:54Z</dcterms:modified>
</cp:coreProperties>
</file>