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6E1C5977-132B-45F4-9905-5AD5FB5D1756}" xr6:coauthVersionLast="47" xr6:coauthVersionMax="47" xr10:uidLastSave="{00000000-0000-0000-0000-000000000000}"/>
  <bookViews>
    <workbookView xWindow="-108" yWindow="-108" windowWidth="23256" windowHeight="12576" activeTab="1" xr2:uid="{7403A8AC-99CC-4876-8521-54E7E6C7B5A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7" i="2" l="1"/>
  <c r="AD17" i="2" s="1"/>
  <c r="AE17" i="2" s="1"/>
  <c r="AF17" i="2" s="1"/>
  <c r="AG17" i="2" s="1"/>
  <c r="AH17" i="2" s="1"/>
  <c r="AI17" i="2" s="1"/>
  <c r="AJ17" i="2" s="1"/>
  <c r="AK17" i="2" s="1"/>
  <c r="AL17" i="2" s="1"/>
  <c r="AG14" i="2"/>
  <c r="AF14" i="2"/>
  <c r="AE14" i="2"/>
  <c r="AD14" i="2"/>
  <c r="AC14" i="2"/>
  <c r="AF3" i="2"/>
  <c r="AE3" i="2"/>
  <c r="AD3" i="2"/>
  <c r="AE6" i="2" s="1"/>
  <c r="AC3" i="2"/>
  <c r="AC6" i="2" s="1"/>
  <c r="AL33" i="2"/>
  <c r="AK33" i="2"/>
  <c r="AJ33" i="2"/>
  <c r="AI33" i="2"/>
  <c r="AH33" i="2"/>
  <c r="AG33" i="2"/>
  <c r="AF33" i="2"/>
  <c r="AE33" i="2"/>
  <c r="AD33" i="2"/>
  <c r="AC33" i="2"/>
  <c r="AL32" i="2"/>
  <c r="AK32" i="2"/>
  <c r="AJ32" i="2"/>
  <c r="AI32" i="2"/>
  <c r="AH32" i="2"/>
  <c r="AG32" i="2"/>
  <c r="AF32" i="2"/>
  <c r="AE32" i="2"/>
  <c r="AD32" i="2"/>
  <c r="AC32" i="2"/>
  <c r="AD31" i="2"/>
  <c r="AC31" i="2"/>
  <c r="AG4" i="2"/>
  <c r="AF4" i="2"/>
  <c r="AE4" i="2"/>
  <c r="AD4" i="2"/>
  <c r="AC4" i="2"/>
  <c r="AB33" i="2"/>
  <c r="AB32" i="2"/>
  <c r="AB31" i="2"/>
  <c r="AB34" i="2"/>
  <c r="AB35" i="2"/>
  <c r="AB5" i="2"/>
  <c r="AB4" i="2"/>
  <c r="AB3" i="2"/>
  <c r="AA33" i="2"/>
  <c r="Z33" i="2"/>
  <c r="Y33" i="2"/>
  <c r="AA32" i="2"/>
  <c r="Z32" i="2"/>
  <c r="Y32" i="2"/>
  <c r="Z31" i="2"/>
  <c r="Y31" i="2"/>
  <c r="AA31" i="2"/>
  <c r="V6" i="2"/>
  <c r="U6" i="2"/>
  <c r="T6" i="2"/>
  <c r="S6" i="2"/>
  <c r="V5" i="2"/>
  <c r="U5" i="2"/>
  <c r="T5" i="2"/>
  <c r="S5" i="2"/>
  <c r="V3" i="2"/>
  <c r="U3" i="2"/>
  <c r="T3" i="2"/>
  <c r="S3" i="2"/>
  <c r="V4" i="2"/>
  <c r="U4" i="2"/>
  <c r="T4" i="2"/>
  <c r="S4" i="2"/>
  <c r="H6" i="2"/>
  <c r="G6" i="2"/>
  <c r="F6" i="2"/>
  <c r="Q6" i="2"/>
  <c r="P6" i="2"/>
  <c r="O6" i="2"/>
  <c r="N6" i="2"/>
  <c r="M6" i="2"/>
  <c r="L6" i="2"/>
  <c r="K6" i="2"/>
  <c r="J6" i="2"/>
  <c r="I6" i="2"/>
  <c r="R6" i="2"/>
  <c r="X5" i="2"/>
  <c r="X4" i="2"/>
  <c r="X3" i="2"/>
  <c r="Y5" i="2"/>
  <c r="Y4" i="2"/>
  <c r="Y3" i="2"/>
  <c r="Z5" i="2"/>
  <c r="Z4" i="2"/>
  <c r="Z3" i="2"/>
  <c r="AA5" i="2"/>
  <c r="AA4" i="2"/>
  <c r="AA3" i="2"/>
  <c r="R33" i="2"/>
  <c r="Q33" i="2"/>
  <c r="P33" i="2"/>
  <c r="O33" i="2"/>
  <c r="N33" i="2"/>
  <c r="M33" i="2"/>
  <c r="L33" i="2"/>
  <c r="K33" i="2"/>
  <c r="J33" i="2"/>
  <c r="I33" i="2"/>
  <c r="H33" i="2"/>
  <c r="G33" i="2"/>
  <c r="R32" i="2"/>
  <c r="Q32" i="2"/>
  <c r="P32" i="2"/>
  <c r="O32" i="2"/>
  <c r="N32" i="2"/>
  <c r="M32" i="2"/>
  <c r="L32" i="2"/>
  <c r="K32" i="2"/>
  <c r="J32" i="2"/>
  <c r="I32" i="2"/>
  <c r="H32" i="2"/>
  <c r="G32" i="2"/>
  <c r="R31" i="2"/>
  <c r="Q31" i="2"/>
  <c r="P31" i="2"/>
  <c r="O31" i="2"/>
  <c r="N31" i="2"/>
  <c r="M31" i="2"/>
  <c r="L31" i="2"/>
  <c r="K31" i="2"/>
  <c r="J31" i="2"/>
  <c r="I31" i="2"/>
  <c r="H31" i="2"/>
  <c r="G31" i="2"/>
  <c r="AO72" i="2"/>
  <c r="AC61" i="2"/>
  <c r="AD61" i="2" s="1"/>
  <c r="AE61" i="2" s="1"/>
  <c r="Z63" i="2"/>
  <c r="Z62" i="2"/>
  <c r="Z61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AA63" i="2"/>
  <c r="AB63" i="2" s="1"/>
  <c r="AC63" i="2" s="1"/>
  <c r="AD63" i="2" s="1"/>
  <c r="AE63" i="2" s="1"/>
  <c r="AF63" i="2" s="1"/>
  <c r="AG63" i="2" s="1"/>
  <c r="AH63" i="2" s="1"/>
  <c r="AI63" i="2" s="1"/>
  <c r="AJ63" i="2" s="1"/>
  <c r="AK63" i="2" s="1"/>
  <c r="AL63" i="2" s="1"/>
  <c r="AA62" i="2"/>
  <c r="AA61" i="2"/>
  <c r="AA59" i="2"/>
  <c r="AA58" i="2"/>
  <c r="AA57" i="2"/>
  <c r="AA56" i="2"/>
  <c r="AA55" i="2"/>
  <c r="AA54" i="2"/>
  <c r="AA53" i="2"/>
  <c r="AA52" i="2"/>
  <c r="AB52" i="2" s="1"/>
  <c r="AA51" i="2"/>
  <c r="AB51" i="2" s="1"/>
  <c r="AC51" i="2" s="1"/>
  <c r="AD51" i="2" s="1"/>
  <c r="AE51" i="2" s="1"/>
  <c r="AA50" i="2"/>
  <c r="AA49" i="2"/>
  <c r="AA48" i="2"/>
  <c r="AA47" i="2"/>
  <c r="K64" i="2"/>
  <c r="O64" i="2"/>
  <c r="L64" i="2"/>
  <c r="P64" i="2"/>
  <c r="M64" i="2"/>
  <c r="N64" i="2"/>
  <c r="Q64" i="2"/>
  <c r="R64" i="2"/>
  <c r="N21" i="2"/>
  <c r="AD6" i="2" l="1"/>
  <c r="AE31" i="2"/>
  <c r="AH4" i="2"/>
  <c r="AI4" i="2" s="1"/>
  <c r="AJ4" i="2" s="1"/>
  <c r="AK4" i="2" s="1"/>
  <c r="AL4" i="2" s="1"/>
  <c r="AC52" i="2"/>
  <c r="AD52" i="2" s="1"/>
  <c r="AE52" i="2" s="1"/>
  <c r="AF52" i="2" s="1"/>
  <c r="AG52" i="2" s="1"/>
  <c r="AH52" i="2" s="1"/>
  <c r="AI52" i="2" s="1"/>
  <c r="AJ52" i="2" s="1"/>
  <c r="AK52" i="2" s="1"/>
  <c r="AL52" i="2" s="1"/>
  <c r="AA64" i="2"/>
  <c r="Z64" i="2"/>
  <c r="AB64" i="2"/>
  <c r="AD64" i="2"/>
  <c r="AC64" i="2"/>
  <c r="AF61" i="2"/>
  <c r="AF51" i="2"/>
  <c r="U14" i="2"/>
  <c r="T14" i="2"/>
  <c r="S14" i="2"/>
  <c r="AF6" i="2" l="1"/>
  <c r="AG3" i="2"/>
  <c r="AF31" i="2"/>
  <c r="AE64" i="2"/>
  <c r="AG61" i="2"/>
  <c r="AF64" i="2"/>
  <c r="AG51" i="2"/>
  <c r="AH3" i="2" l="1"/>
  <c r="AG6" i="2"/>
  <c r="AG31" i="2"/>
  <c r="AH61" i="2"/>
  <c r="AG64" i="2"/>
  <c r="AH51" i="2"/>
  <c r="AI3" i="2" l="1"/>
  <c r="AH6" i="2"/>
  <c r="AH31" i="2"/>
  <c r="AI61" i="2"/>
  <c r="AH64" i="2"/>
  <c r="AI51" i="2"/>
  <c r="AJ3" i="2" l="1"/>
  <c r="AI6" i="2"/>
  <c r="AI31" i="2"/>
  <c r="AJ61" i="2"/>
  <c r="AI64" i="2"/>
  <c r="AJ51" i="2"/>
  <c r="AK3" i="2" l="1"/>
  <c r="AJ6" i="2"/>
  <c r="AJ31" i="2"/>
  <c r="AK61" i="2"/>
  <c r="AJ64" i="2"/>
  <c r="AK51" i="2"/>
  <c r="AL3" i="2" l="1"/>
  <c r="AL6" i="2" s="1"/>
  <c r="AK6" i="2"/>
  <c r="AK31" i="2"/>
  <c r="AL61" i="2"/>
  <c r="AL64" i="2" s="1"/>
  <c r="AK64" i="2"/>
  <c r="AL51" i="2"/>
  <c r="AL31" i="2" l="1"/>
  <c r="V24" i="2"/>
  <c r="U24" i="2"/>
  <c r="T24" i="2"/>
  <c r="S24" i="2"/>
  <c r="AB23" i="2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AB22" i="2"/>
  <c r="AB21" i="2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B18" i="2"/>
  <c r="AB17" i="2"/>
  <c r="AB16" i="2"/>
  <c r="AB7" i="2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A11" i="2"/>
  <c r="AA10" i="2"/>
  <c r="AA9" i="2"/>
  <c r="V14" i="2"/>
  <c r="AB14" i="2" l="1"/>
  <c r="U8" i="2"/>
  <c r="U15" i="2" s="1"/>
  <c r="U19" i="2" s="1"/>
  <c r="V39" i="2"/>
  <c r="U39" i="2"/>
  <c r="T39" i="2"/>
  <c r="S39" i="2"/>
  <c r="V8" i="2"/>
  <c r="V15" i="2" s="1"/>
  <c r="V19" i="2" s="1"/>
  <c r="T8" i="2"/>
  <c r="T15" i="2" s="1"/>
  <c r="Q12" i="2"/>
  <c r="R21" i="2"/>
  <c r="R24" i="2" s="1"/>
  <c r="R18" i="2"/>
  <c r="AA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R12" i="2"/>
  <c r="D6" i="1"/>
  <c r="AO44" i="2"/>
  <c r="AO41" i="2"/>
  <c r="AO69" i="2" s="1"/>
  <c r="AL24" i="2"/>
  <c r="AK24" i="2"/>
  <c r="AJ24" i="2"/>
  <c r="AI24" i="2"/>
  <c r="AH24" i="2"/>
  <c r="AG24" i="2"/>
  <c r="AF24" i="2"/>
  <c r="AE24" i="2"/>
  <c r="AD24" i="2"/>
  <c r="AC24" i="2"/>
  <c r="AB24" i="2"/>
  <c r="Q24" i="2"/>
  <c r="Q39" i="2"/>
  <c r="R8" i="2"/>
  <c r="R35" i="2" s="1"/>
  <c r="Q8" i="2"/>
  <c r="Q35" i="2" s="1"/>
  <c r="Y39" i="2"/>
  <c r="P39" i="2"/>
  <c r="O39" i="2"/>
  <c r="N39" i="2"/>
  <c r="M39" i="2"/>
  <c r="AA23" i="2"/>
  <c r="AA22" i="2"/>
  <c r="AA17" i="2"/>
  <c r="AA16" i="2"/>
  <c r="AA7" i="2"/>
  <c r="Z26" i="2"/>
  <c r="Z23" i="2"/>
  <c r="Z22" i="2"/>
  <c r="Z17" i="2"/>
  <c r="Z16" i="2"/>
  <c r="Z15" i="2"/>
  <c r="Z14" i="2"/>
  <c r="Z39" i="2" s="1"/>
  <c r="Z11" i="2"/>
  <c r="Z10" i="2"/>
  <c r="Z9" i="2"/>
  <c r="Z7" i="2"/>
  <c r="Z6" i="2"/>
  <c r="Y21" i="2"/>
  <c r="Y24" i="2" s="1"/>
  <c r="Y18" i="2"/>
  <c r="Y19" i="2" s="1"/>
  <c r="Y12" i="2"/>
  <c r="Y8" i="2"/>
  <c r="X21" i="2"/>
  <c r="X24" i="2" s="1"/>
  <c r="X18" i="2"/>
  <c r="X19" i="2" s="1"/>
  <c r="X12" i="2"/>
  <c r="X8" i="2"/>
  <c r="I24" i="2"/>
  <c r="I19" i="2"/>
  <c r="I12" i="2"/>
  <c r="I8" i="2"/>
  <c r="I40" i="2" s="1"/>
  <c r="M18" i="2"/>
  <c r="M19" i="2" s="1"/>
  <c r="M24" i="2"/>
  <c r="M12" i="2"/>
  <c r="M8" i="2"/>
  <c r="M36" i="2" s="1"/>
  <c r="J21" i="2"/>
  <c r="J24" i="2" s="1"/>
  <c r="J18" i="2"/>
  <c r="J19" i="2" s="1"/>
  <c r="J12" i="2"/>
  <c r="J8" i="2"/>
  <c r="J40" i="2" s="1"/>
  <c r="N24" i="2"/>
  <c r="N18" i="2"/>
  <c r="N19" i="2" s="1"/>
  <c r="N12" i="2"/>
  <c r="N8" i="2"/>
  <c r="N37" i="2" s="1"/>
  <c r="K24" i="2"/>
  <c r="K19" i="2"/>
  <c r="K12" i="2"/>
  <c r="K8" i="2"/>
  <c r="K40" i="2" s="1"/>
  <c r="O12" i="2"/>
  <c r="O24" i="2"/>
  <c r="O19" i="2"/>
  <c r="O8" i="2"/>
  <c r="O37" i="2" s="1"/>
  <c r="L24" i="2"/>
  <c r="L19" i="2"/>
  <c r="L12" i="2"/>
  <c r="L8" i="2"/>
  <c r="L40" i="2" s="1"/>
  <c r="P24" i="2"/>
  <c r="P19" i="2"/>
  <c r="P12" i="2"/>
  <c r="P8" i="2"/>
  <c r="P40" i="2" s="1"/>
  <c r="D8" i="1"/>
  <c r="D5" i="1"/>
  <c r="D9" i="1" s="1"/>
  <c r="G3" i="1"/>
  <c r="O36" i="2" l="1"/>
  <c r="I37" i="2"/>
  <c r="T10" i="2"/>
  <c r="T36" i="2" s="1"/>
  <c r="R36" i="2"/>
  <c r="P36" i="2"/>
  <c r="L35" i="2"/>
  <c r="U10" i="2"/>
  <c r="U36" i="2" s="1"/>
  <c r="M35" i="2"/>
  <c r="U11" i="2"/>
  <c r="U37" i="2" s="1"/>
  <c r="V11" i="2"/>
  <c r="V37" i="2" s="1"/>
  <c r="Q37" i="2"/>
  <c r="J37" i="2"/>
  <c r="K35" i="2"/>
  <c r="R37" i="2"/>
  <c r="P37" i="2"/>
  <c r="N36" i="2"/>
  <c r="S8" i="2"/>
  <c r="AB6" i="2"/>
  <c r="N35" i="2"/>
  <c r="K37" i="2"/>
  <c r="I36" i="2"/>
  <c r="Q36" i="2"/>
  <c r="V10" i="2"/>
  <c r="V36" i="2" s="1"/>
  <c r="Y40" i="2"/>
  <c r="Y36" i="2"/>
  <c r="Y37" i="2"/>
  <c r="Y35" i="2"/>
  <c r="O35" i="2"/>
  <c r="L37" i="2"/>
  <c r="J36" i="2"/>
  <c r="P35" i="2"/>
  <c r="M37" i="2"/>
  <c r="K36" i="2"/>
  <c r="T9" i="2"/>
  <c r="T35" i="2" s="1"/>
  <c r="X40" i="2"/>
  <c r="X35" i="2"/>
  <c r="X37" i="2"/>
  <c r="X36" i="2"/>
  <c r="I35" i="2"/>
  <c r="L36" i="2"/>
  <c r="U9" i="2"/>
  <c r="U35" i="2" s="1"/>
  <c r="J35" i="2"/>
  <c r="V9" i="2"/>
  <c r="T11" i="2"/>
  <c r="T19" i="2"/>
  <c r="R13" i="2"/>
  <c r="R38" i="2" s="1"/>
  <c r="T34" i="2"/>
  <c r="T40" i="2"/>
  <c r="V34" i="2"/>
  <c r="V40" i="2"/>
  <c r="Q13" i="2"/>
  <c r="Q38" i="2" s="1"/>
  <c r="U40" i="2"/>
  <c r="U34" i="2"/>
  <c r="AA21" i="2"/>
  <c r="AA24" i="2" s="1"/>
  <c r="O34" i="2"/>
  <c r="M34" i="2"/>
  <c r="O40" i="2"/>
  <c r="N13" i="2"/>
  <c r="N38" i="2" s="1"/>
  <c r="Y34" i="2"/>
  <c r="M40" i="2"/>
  <c r="N34" i="2"/>
  <c r="N40" i="2"/>
  <c r="AA14" i="2"/>
  <c r="AA39" i="2" s="1"/>
  <c r="Z18" i="2"/>
  <c r="Z19" i="2" s="1"/>
  <c r="Z21" i="2"/>
  <c r="Z24" i="2" s="1"/>
  <c r="P34" i="2"/>
  <c r="AA6" i="2"/>
  <c r="AA8" i="2" s="1"/>
  <c r="Q34" i="2"/>
  <c r="Q19" i="2"/>
  <c r="R19" i="2"/>
  <c r="AA15" i="2"/>
  <c r="R39" i="2"/>
  <c r="R34" i="2"/>
  <c r="Q40" i="2"/>
  <c r="R40" i="2"/>
  <c r="Z12" i="2"/>
  <c r="Z8" i="2"/>
  <c r="Y13" i="2"/>
  <c r="X13" i="2"/>
  <c r="I13" i="2"/>
  <c r="M13" i="2"/>
  <c r="J13" i="2"/>
  <c r="K13" i="2"/>
  <c r="O13" i="2"/>
  <c r="L13" i="2"/>
  <c r="P13" i="2"/>
  <c r="T12" i="2" l="1"/>
  <c r="T13" i="2" s="1"/>
  <c r="T38" i="2" s="1"/>
  <c r="U12" i="2"/>
  <c r="U13" i="2" s="1"/>
  <c r="U20" i="2" s="1"/>
  <c r="V12" i="2"/>
  <c r="V13" i="2" s="1"/>
  <c r="V20" i="2" s="1"/>
  <c r="T37" i="2"/>
  <c r="Z36" i="2"/>
  <c r="Z37" i="2"/>
  <c r="Z35" i="2"/>
  <c r="S15" i="2"/>
  <c r="S11" i="2"/>
  <c r="S9" i="2"/>
  <c r="S10" i="2"/>
  <c r="AB10" i="2" s="1"/>
  <c r="S34" i="2"/>
  <c r="AA37" i="2"/>
  <c r="AA35" i="2"/>
  <c r="AA36" i="2"/>
  <c r="V35" i="2"/>
  <c r="AB8" i="2"/>
  <c r="N20" i="2"/>
  <c r="N41" i="2" s="1"/>
  <c r="AA19" i="2"/>
  <c r="M20" i="2"/>
  <c r="M38" i="2"/>
  <c r="Q20" i="2"/>
  <c r="J20" i="2"/>
  <c r="J38" i="2"/>
  <c r="X20" i="2"/>
  <c r="X41" i="2" s="1"/>
  <c r="X38" i="2"/>
  <c r="L20" i="2"/>
  <c r="L38" i="2"/>
  <c r="Y20" i="2"/>
  <c r="Y38" i="2"/>
  <c r="R20" i="2"/>
  <c r="O20" i="2"/>
  <c r="O38" i="2"/>
  <c r="Z13" i="2"/>
  <c r="Z38" i="2" s="1"/>
  <c r="Z34" i="2"/>
  <c r="AB39" i="2"/>
  <c r="Z40" i="2"/>
  <c r="I20" i="2"/>
  <c r="I38" i="2"/>
  <c r="K20" i="2"/>
  <c r="K38" i="2"/>
  <c r="P20" i="2"/>
  <c r="P38" i="2"/>
  <c r="AA40" i="2"/>
  <c r="AA34" i="2"/>
  <c r="T20" i="2" l="1"/>
  <c r="T25" i="2" s="1"/>
  <c r="S36" i="2"/>
  <c r="U38" i="2"/>
  <c r="V38" i="2"/>
  <c r="AB36" i="2"/>
  <c r="S19" i="2"/>
  <c r="AB15" i="2"/>
  <c r="AB40" i="2" s="1"/>
  <c r="S40" i="2"/>
  <c r="V25" i="2"/>
  <c r="V41" i="2"/>
  <c r="AC8" i="2"/>
  <c r="AC13" i="2" s="1"/>
  <c r="AB9" i="2"/>
  <c r="S12" i="2"/>
  <c r="S13" i="2" s="1"/>
  <c r="S38" i="2" s="1"/>
  <c r="S35" i="2"/>
  <c r="S37" i="2"/>
  <c r="AB11" i="2"/>
  <c r="AB37" i="2" s="1"/>
  <c r="U25" i="2"/>
  <c r="U41" i="2"/>
  <c r="N25" i="2"/>
  <c r="AA12" i="2"/>
  <c r="AA13" i="2" s="1"/>
  <c r="AA38" i="2" s="1"/>
  <c r="Z20" i="2"/>
  <c r="Z41" i="2" s="1"/>
  <c r="R25" i="2"/>
  <c r="R46" i="2" s="1"/>
  <c r="R60" i="2" s="1"/>
  <c r="R65" i="2" s="1"/>
  <c r="R41" i="2"/>
  <c r="J25" i="2"/>
  <c r="J41" i="2"/>
  <c r="X25" i="2"/>
  <c r="X27" i="2" s="1"/>
  <c r="Q25" i="2"/>
  <c r="Q46" i="2" s="1"/>
  <c r="Q60" i="2" s="1"/>
  <c r="Q65" i="2" s="1"/>
  <c r="Q41" i="2"/>
  <c r="K25" i="2"/>
  <c r="K46" i="2" s="1"/>
  <c r="K60" i="2" s="1"/>
  <c r="K65" i="2" s="1"/>
  <c r="K41" i="2"/>
  <c r="Y25" i="2"/>
  <c r="Y41" i="2"/>
  <c r="O25" i="2"/>
  <c r="O46" i="2" s="1"/>
  <c r="O60" i="2" s="1"/>
  <c r="O65" i="2" s="1"/>
  <c r="O41" i="2"/>
  <c r="I25" i="2"/>
  <c r="I41" i="2"/>
  <c r="L25" i="2"/>
  <c r="L46" i="2" s="1"/>
  <c r="L60" i="2" s="1"/>
  <c r="L65" i="2" s="1"/>
  <c r="L41" i="2"/>
  <c r="M25" i="2"/>
  <c r="M46" i="2" s="1"/>
  <c r="M60" i="2" s="1"/>
  <c r="M65" i="2" s="1"/>
  <c r="M41" i="2"/>
  <c r="P25" i="2"/>
  <c r="P46" i="2" s="1"/>
  <c r="P60" i="2" s="1"/>
  <c r="P65" i="2" s="1"/>
  <c r="P41" i="2"/>
  <c r="T41" i="2" l="1"/>
  <c r="N42" i="2"/>
  <c r="N46" i="2"/>
  <c r="N60" i="2" s="1"/>
  <c r="N65" i="2" s="1"/>
  <c r="AB12" i="2"/>
  <c r="AB13" i="2" s="1"/>
  <c r="AB38" i="2" s="1"/>
  <c r="V26" i="2"/>
  <c r="V42" i="2" s="1"/>
  <c r="AD8" i="2"/>
  <c r="U26" i="2"/>
  <c r="U42" i="2" s="1"/>
  <c r="T26" i="2"/>
  <c r="T42" i="2" s="1"/>
  <c r="S20" i="2"/>
  <c r="Z25" i="2"/>
  <c r="N27" i="2"/>
  <c r="N29" i="2" s="1"/>
  <c r="AA20" i="2"/>
  <c r="AA41" i="2" s="1"/>
  <c r="AB19" i="2"/>
  <c r="Q42" i="2"/>
  <c r="AC39" i="2"/>
  <c r="I27" i="2"/>
  <c r="I42" i="2"/>
  <c r="J27" i="2"/>
  <c r="J42" i="2"/>
  <c r="R27" i="2"/>
  <c r="AC15" i="2"/>
  <c r="AC40" i="2" s="1"/>
  <c r="AC38" i="2"/>
  <c r="AC34" i="2"/>
  <c r="M27" i="2"/>
  <c r="M42" i="2"/>
  <c r="Y27" i="2"/>
  <c r="Y42" i="2"/>
  <c r="X42" i="2"/>
  <c r="L27" i="2"/>
  <c r="L42" i="2"/>
  <c r="O27" i="2"/>
  <c r="O42" i="2"/>
  <c r="K27" i="2"/>
  <c r="K42" i="2"/>
  <c r="X29" i="2"/>
  <c r="X43" i="2"/>
  <c r="P27" i="2"/>
  <c r="P42" i="2"/>
  <c r="Z42" i="2" l="1"/>
  <c r="Z46" i="2"/>
  <c r="Z60" i="2" s="1"/>
  <c r="Z65" i="2" s="1"/>
  <c r="Z27" i="2"/>
  <c r="AB20" i="2"/>
  <c r="AB41" i="2" s="1"/>
  <c r="AD13" i="2"/>
  <c r="AD38" i="2" s="1"/>
  <c r="AD15" i="2"/>
  <c r="AD40" i="2" s="1"/>
  <c r="T27" i="2"/>
  <c r="T29" i="2" s="1"/>
  <c r="AE8" i="2"/>
  <c r="U27" i="2"/>
  <c r="S25" i="2"/>
  <c r="S41" i="2"/>
  <c r="V27" i="2"/>
  <c r="N43" i="2"/>
  <c r="AC12" i="2"/>
  <c r="AA25" i="2"/>
  <c r="AA46" i="2" s="1"/>
  <c r="AA60" i="2" s="1"/>
  <c r="AA65" i="2" s="1"/>
  <c r="R29" i="2"/>
  <c r="R43" i="2"/>
  <c r="M29" i="2"/>
  <c r="M43" i="2"/>
  <c r="O29" i="2"/>
  <c r="O43" i="2"/>
  <c r="Z29" i="2"/>
  <c r="Z43" i="2"/>
  <c r="J29" i="2"/>
  <c r="J43" i="2"/>
  <c r="AD39" i="2"/>
  <c r="I29" i="2"/>
  <c r="I43" i="2"/>
  <c r="L29" i="2"/>
  <c r="L43" i="2"/>
  <c r="Q27" i="2"/>
  <c r="AC19" i="2"/>
  <c r="AC20" i="2" s="1"/>
  <c r="Y29" i="2"/>
  <c r="Y43" i="2"/>
  <c r="AD34" i="2"/>
  <c r="K29" i="2"/>
  <c r="K43" i="2"/>
  <c r="AA26" i="2"/>
  <c r="R42" i="2"/>
  <c r="P29" i="2"/>
  <c r="P43" i="2"/>
  <c r="AB25" i="2" l="1"/>
  <c r="AB46" i="2" s="1"/>
  <c r="AB60" i="2" s="1"/>
  <c r="AB65" i="2" s="1"/>
  <c r="T43" i="2"/>
  <c r="AD12" i="2"/>
  <c r="AE13" i="2"/>
  <c r="AE38" i="2" s="1"/>
  <c r="AE15" i="2"/>
  <c r="AE40" i="2" s="1"/>
  <c r="V29" i="2"/>
  <c r="V43" i="2"/>
  <c r="S26" i="2"/>
  <c r="S27" i="2" s="1"/>
  <c r="U29" i="2"/>
  <c r="U43" i="2"/>
  <c r="AF8" i="2"/>
  <c r="AA27" i="2"/>
  <c r="AA29" i="2" s="1"/>
  <c r="AA42" i="2"/>
  <c r="AD19" i="2"/>
  <c r="AD20" i="2" s="1"/>
  <c r="AC25" i="2"/>
  <c r="AC46" i="2" s="1"/>
  <c r="AC60" i="2" s="1"/>
  <c r="AC65" i="2" s="1"/>
  <c r="AC41" i="2"/>
  <c r="AE39" i="2"/>
  <c r="Q29" i="2"/>
  <c r="Q43" i="2"/>
  <c r="AE34" i="2"/>
  <c r="AE12" i="2" l="1"/>
  <c r="AF13" i="2"/>
  <c r="AF38" i="2" s="1"/>
  <c r="AF15" i="2"/>
  <c r="AF40" i="2" s="1"/>
  <c r="S29" i="2"/>
  <c r="S43" i="2"/>
  <c r="AG8" i="2"/>
  <c r="AB26" i="2"/>
  <c r="AB42" i="2" s="1"/>
  <c r="S42" i="2"/>
  <c r="AA43" i="2"/>
  <c r="AC26" i="2"/>
  <c r="AC42" i="2" s="1"/>
  <c r="AF34" i="2"/>
  <c r="AD41" i="2"/>
  <c r="AD25" i="2"/>
  <c r="AD46" i="2" s="1"/>
  <c r="AD60" i="2" s="1"/>
  <c r="AD65" i="2" s="1"/>
  <c r="AF39" i="2"/>
  <c r="AE19" i="2"/>
  <c r="AE20" i="2" s="1"/>
  <c r="AG13" i="2" l="1"/>
  <c r="AG38" i="2" s="1"/>
  <c r="AG15" i="2"/>
  <c r="AG40" i="2" s="1"/>
  <c r="AH8" i="2"/>
  <c r="AB27" i="2"/>
  <c r="AB29" i="2" s="1"/>
  <c r="AF12" i="2"/>
  <c r="AF19" i="2"/>
  <c r="AF20" i="2" s="1"/>
  <c r="AF25" i="2" s="1"/>
  <c r="AF46" i="2" s="1"/>
  <c r="AF60" i="2" s="1"/>
  <c r="AF65" i="2" s="1"/>
  <c r="AC27" i="2"/>
  <c r="AC29" i="2" s="1"/>
  <c r="AD26" i="2"/>
  <c r="AD42" i="2" s="1"/>
  <c r="AE25" i="2"/>
  <c r="AE46" i="2" s="1"/>
  <c r="AE60" i="2" s="1"/>
  <c r="AE65" i="2" s="1"/>
  <c r="AE41" i="2"/>
  <c r="AH14" i="2"/>
  <c r="AG39" i="2"/>
  <c r="AG34" i="2"/>
  <c r="AB43" i="2" l="1"/>
  <c r="AH13" i="2"/>
  <c r="AH38" i="2" s="1"/>
  <c r="AH15" i="2"/>
  <c r="AH40" i="2" s="1"/>
  <c r="AI8" i="2"/>
  <c r="AD27" i="2"/>
  <c r="AD43" i="2" s="1"/>
  <c r="AG12" i="2"/>
  <c r="AG19" i="2"/>
  <c r="AG20" i="2" s="1"/>
  <c r="AG41" i="2" s="1"/>
  <c r="AF41" i="2"/>
  <c r="AC43" i="2"/>
  <c r="AI14" i="2"/>
  <c r="AH39" i="2"/>
  <c r="AE26" i="2"/>
  <c r="AE42" i="2" s="1"/>
  <c r="AH34" i="2"/>
  <c r="AF26" i="2"/>
  <c r="AF42" i="2" s="1"/>
  <c r="AI13" i="2" l="1"/>
  <c r="AI38" i="2" s="1"/>
  <c r="AI15" i="2"/>
  <c r="AI40" i="2" s="1"/>
  <c r="AJ8" i="2"/>
  <c r="AH19" i="2"/>
  <c r="AH20" i="2" s="1"/>
  <c r="AH41" i="2" s="1"/>
  <c r="AD29" i="2"/>
  <c r="AG25" i="2"/>
  <c r="AE27" i="2"/>
  <c r="AF27" i="2"/>
  <c r="AJ14" i="2"/>
  <c r="AI39" i="2"/>
  <c r="AH12" i="2"/>
  <c r="AI34" i="2"/>
  <c r="AG26" i="2" l="1"/>
  <c r="AG42" i="2" s="1"/>
  <c r="AG46" i="2"/>
  <c r="AG60" i="2" s="1"/>
  <c r="AG65" i="2" s="1"/>
  <c r="AJ13" i="2"/>
  <c r="AJ38" i="2" s="1"/>
  <c r="AJ15" i="2"/>
  <c r="AJ40" i="2" s="1"/>
  <c r="AL8" i="2"/>
  <c r="AK8" i="2"/>
  <c r="AI19" i="2"/>
  <c r="AI20" i="2" s="1"/>
  <c r="AI25" i="2" s="1"/>
  <c r="AI46" i="2" s="1"/>
  <c r="AI60" i="2" s="1"/>
  <c r="AI65" i="2" s="1"/>
  <c r="AH25" i="2"/>
  <c r="AI12" i="2"/>
  <c r="AE43" i="2"/>
  <c r="AE29" i="2"/>
  <c r="AJ39" i="2"/>
  <c r="AK14" i="2"/>
  <c r="AF29" i="2"/>
  <c r="AF43" i="2"/>
  <c r="AJ34" i="2"/>
  <c r="AH26" i="2" l="1"/>
  <c r="AH42" i="2" s="1"/>
  <c r="AH46" i="2"/>
  <c r="AH60" i="2" s="1"/>
  <c r="AH65" i="2" s="1"/>
  <c r="AG27" i="2"/>
  <c r="AG43" i="2" s="1"/>
  <c r="AK13" i="2"/>
  <c r="AK38" i="2" s="1"/>
  <c r="AK15" i="2"/>
  <c r="AK40" i="2" s="1"/>
  <c r="AL13" i="2"/>
  <c r="AL15" i="2"/>
  <c r="AI41" i="2"/>
  <c r="AJ12" i="2"/>
  <c r="AI26" i="2"/>
  <c r="AI42" i="2" s="1"/>
  <c r="AK39" i="2"/>
  <c r="AL14" i="2"/>
  <c r="AK34" i="2"/>
  <c r="AJ19" i="2"/>
  <c r="AJ20" i="2" s="1"/>
  <c r="AH27" i="2" l="1"/>
  <c r="AH29" i="2" s="1"/>
  <c r="AG29" i="2"/>
  <c r="AK19" i="2"/>
  <c r="AK20" i="2" s="1"/>
  <c r="AK25" i="2" s="1"/>
  <c r="AK46" i="2" s="1"/>
  <c r="AK60" i="2" s="1"/>
  <c r="AK65" i="2" s="1"/>
  <c r="AK12" i="2"/>
  <c r="AL39" i="2"/>
  <c r="AJ41" i="2"/>
  <c r="AJ25" i="2"/>
  <c r="AJ46" i="2" s="1"/>
  <c r="AJ60" i="2" s="1"/>
  <c r="AJ65" i="2" s="1"/>
  <c r="AI27" i="2"/>
  <c r="AL40" i="2"/>
  <c r="AL38" i="2"/>
  <c r="AL34" i="2"/>
  <c r="AH43" i="2" l="1"/>
  <c r="AK41" i="2"/>
  <c r="AL12" i="2"/>
  <c r="AI29" i="2"/>
  <c r="AI43" i="2"/>
  <c r="AJ26" i="2"/>
  <c r="AJ42" i="2" s="1"/>
  <c r="AL19" i="2"/>
  <c r="AL20" i="2" s="1"/>
  <c r="AK26" i="2"/>
  <c r="AK42" i="2" s="1"/>
  <c r="AJ27" i="2" l="1"/>
  <c r="AJ29" i="2" s="1"/>
  <c r="AK27" i="2"/>
  <c r="AK29" i="2" s="1"/>
  <c r="AL25" i="2"/>
  <c r="AL46" i="2" s="1"/>
  <c r="AL60" i="2" s="1"/>
  <c r="AL65" i="2" s="1"/>
  <c r="AM65" i="2" s="1"/>
  <c r="AN65" i="2" s="1"/>
  <c r="AO65" i="2" s="1"/>
  <c r="AP65" i="2" s="1"/>
  <c r="AQ65" i="2" s="1"/>
  <c r="AR65" i="2" s="1"/>
  <c r="AS65" i="2" s="1"/>
  <c r="AT65" i="2" s="1"/>
  <c r="AU65" i="2" s="1"/>
  <c r="AV65" i="2" s="1"/>
  <c r="AW65" i="2" s="1"/>
  <c r="AX65" i="2" s="1"/>
  <c r="AY65" i="2" s="1"/>
  <c r="AZ65" i="2" s="1"/>
  <c r="BA65" i="2" s="1"/>
  <c r="BB65" i="2" s="1"/>
  <c r="BC65" i="2" s="1"/>
  <c r="BD65" i="2" s="1"/>
  <c r="BE65" i="2" s="1"/>
  <c r="BF65" i="2" s="1"/>
  <c r="BG65" i="2" s="1"/>
  <c r="BH65" i="2" s="1"/>
  <c r="BI65" i="2" s="1"/>
  <c r="BJ65" i="2" s="1"/>
  <c r="BK65" i="2" s="1"/>
  <c r="BL65" i="2" s="1"/>
  <c r="BM65" i="2" s="1"/>
  <c r="BN65" i="2" s="1"/>
  <c r="BO65" i="2" s="1"/>
  <c r="BP65" i="2" s="1"/>
  <c r="BQ65" i="2" s="1"/>
  <c r="BR65" i="2" s="1"/>
  <c r="BS65" i="2" s="1"/>
  <c r="BT65" i="2" s="1"/>
  <c r="BU65" i="2" s="1"/>
  <c r="BV65" i="2" s="1"/>
  <c r="BW65" i="2" s="1"/>
  <c r="BX65" i="2" s="1"/>
  <c r="BY65" i="2" s="1"/>
  <c r="BZ65" i="2" s="1"/>
  <c r="CA65" i="2" s="1"/>
  <c r="CB65" i="2" s="1"/>
  <c r="CC65" i="2" s="1"/>
  <c r="CD65" i="2" s="1"/>
  <c r="CE65" i="2" s="1"/>
  <c r="CF65" i="2" s="1"/>
  <c r="CG65" i="2" s="1"/>
  <c r="CH65" i="2" s="1"/>
  <c r="CI65" i="2" s="1"/>
  <c r="CJ65" i="2" s="1"/>
  <c r="CK65" i="2" s="1"/>
  <c r="CL65" i="2" s="1"/>
  <c r="CM65" i="2" s="1"/>
  <c r="CN65" i="2" s="1"/>
  <c r="CO65" i="2" s="1"/>
  <c r="CP65" i="2" s="1"/>
  <c r="CQ65" i="2" s="1"/>
  <c r="CR65" i="2" s="1"/>
  <c r="CS65" i="2" s="1"/>
  <c r="CT65" i="2" s="1"/>
  <c r="CU65" i="2" s="1"/>
  <c r="CV65" i="2" s="1"/>
  <c r="CW65" i="2" s="1"/>
  <c r="CX65" i="2" s="1"/>
  <c r="CY65" i="2" s="1"/>
  <c r="CZ65" i="2" s="1"/>
  <c r="DA65" i="2" s="1"/>
  <c r="DB65" i="2" s="1"/>
  <c r="DC65" i="2" s="1"/>
  <c r="DD65" i="2" s="1"/>
  <c r="DE65" i="2" s="1"/>
  <c r="DF65" i="2" s="1"/>
  <c r="DG65" i="2" s="1"/>
  <c r="DH65" i="2" s="1"/>
  <c r="DI65" i="2" s="1"/>
  <c r="DJ65" i="2" s="1"/>
  <c r="DK65" i="2" s="1"/>
  <c r="DL65" i="2" s="1"/>
  <c r="DM65" i="2" s="1"/>
  <c r="DN65" i="2" s="1"/>
  <c r="DO65" i="2" s="1"/>
  <c r="DP65" i="2" s="1"/>
  <c r="DQ65" i="2" s="1"/>
  <c r="DR65" i="2" s="1"/>
  <c r="DS65" i="2" s="1"/>
  <c r="DT65" i="2" s="1"/>
  <c r="DU65" i="2" s="1"/>
  <c r="DV65" i="2" s="1"/>
  <c r="DW65" i="2" s="1"/>
  <c r="DX65" i="2" s="1"/>
  <c r="DY65" i="2" s="1"/>
  <c r="DZ65" i="2" s="1"/>
  <c r="EA65" i="2" s="1"/>
  <c r="EB65" i="2" s="1"/>
  <c r="EC65" i="2" s="1"/>
  <c r="ED65" i="2" s="1"/>
  <c r="EE65" i="2" s="1"/>
  <c r="EF65" i="2" s="1"/>
  <c r="EG65" i="2" s="1"/>
  <c r="EH65" i="2" s="1"/>
  <c r="EI65" i="2" s="1"/>
  <c r="EJ65" i="2" s="1"/>
  <c r="AO68" i="2" s="1"/>
  <c r="AO70" i="2" s="1"/>
  <c r="AO71" i="2" s="1"/>
  <c r="AO73" i="2" s="1"/>
  <c r="AL41" i="2"/>
  <c r="AJ43" i="2" l="1"/>
  <c r="AK43" i="2"/>
  <c r="AL26" i="2"/>
  <c r="AL42" i="2" s="1"/>
  <c r="AL27" i="2" l="1"/>
  <c r="AL29" i="2" l="1"/>
  <c r="AM27" i="2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CG27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X27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DO27" i="2" s="1"/>
  <c r="DP27" i="2" s="1"/>
  <c r="DQ27" i="2" s="1"/>
  <c r="DR27" i="2" s="1"/>
  <c r="DS27" i="2" s="1"/>
  <c r="DT27" i="2" s="1"/>
  <c r="DU27" i="2" s="1"/>
  <c r="DV27" i="2" s="1"/>
  <c r="DW27" i="2" s="1"/>
  <c r="DX27" i="2" s="1"/>
  <c r="DY27" i="2" s="1"/>
  <c r="DZ27" i="2" s="1"/>
  <c r="EA27" i="2" s="1"/>
  <c r="EB27" i="2" s="1"/>
  <c r="EC27" i="2" s="1"/>
  <c r="ED27" i="2" s="1"/>
  <c r="EE27" i="2" s="1"/>
  <c r="EF27" i="2" s="1"/>
  <c r="EG27" i="2" s="1"/>
  <c r="EH27" i="2" s="1"/>
  <c r="EI27" i="2" s="1"/>
  <c r="EJ27" i="2" s="1"/>
  <c r="EK27" i="2" s="1"/>
  <c r="EL27" i="2" s="1"/>
  <c r="EM27" i="2" s="1"/>
  <c r="EN27" i="2" s="1"/>
  <c r="AL43" i="2"/>
  <c r="AO40" i="2" l="1"/>
  <c r="AO42" i="2" s="1"/>
  <c r="AO43" i="2" s="1"/>
  <c r="AO45" i="2" s="1"/>
</calcChain>
</file>

<file path=xl/sharedStrings.xml><?xml version="1.0" encoding="utf-8"?>
<sst xmlns="http://schemas.openxmlformats.org/spreadsheetml/2006/main" count="102" uniqueCount="97">
  <si>
    <t>OPRA</t>
  </si>
  <si>
    <t>Price</t>
  </si>
  <si>
    <t>Shares</t>
  </si>
  <si>
    <t>MC</t>
  </si>
  <si>
    <t>Cash</t>
  </si>
  <si>
    <t>Debt</t>
  </si>
  <si>
    <t>Net Cash</t>
  </si>
  <si>
    <t>EV</t>
  </si>
  <si>
    <t>Last checked</t>
  </si>
  <si>
    <t>Today</t>
  </si>
  <si>
    <t>Earnings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</si>
  <si>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</si>
  <si>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</si>
  <si>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</si>
  <si>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</si>
  <si>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</si>
  <si>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</si>
  <si>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</si>
  <si>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</si>
  <si>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</si>
  <si>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</si>
  <si>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</si>
  <si>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</si>
  <si>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</si>
  <si>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Other income</t>
  </si>
  <si>
    <t>Total revenue</t>
  </si>
  <si>
    <t>Technology cost</t>
  </si>
  <si>
    <t>Content cost</t>
  </si>
  <si>
    <t>Inventory cost</t>
  </si>
  <si>
    <t>Total cost of sales</t>
  </si>
  <si>
    <t>Gross profit</t>
  </si>
  <si>
    <t>G&amp;A</t>
  </si>
  <si>
    <t>S&amp;M</t>
  </si>
  <si>
    <t>D&amp;A</t>
  </si>
  <si>
    <t>Other operating expenses</t>
  </si>
  <si>
    <t>Credit loss expense</t>
  </si>
  <si>
    <t>Total operating expenses</t>
  </si>
  <si>
    <t>Operating profit</t>
  </si>
  <si>
    <t>Finance income</t>
  </si>
  <si>
    <t>Finance expense</t>
  </si>
  <si>
    <t>Other financial expense</t>
  </si>
  <si>
    <t>Net financial income</t>
  </si>
  <si>
    <t>Taxes</t>
  </si>
  <si>
    <t>Net profit</t>
  </si>
  <si>
    <t>EPS</t>
  </si>
  <si>
    <t>Pretax profit</t>
  </si>
  <si>
    <t>Revenue y/y</t>
  </si>
  <si>
    <t>Gross Margin</t>
  </si>
  <si>
    <t>G&amp;A y/y</t>
  </si>
  <si>
    <t>S&amp;M Margin</t>
  </si>
  <si>
    <t>Operating Margin</t>
  </si>
  <si>
    <t>Net Margin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</si>
  <si>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</si>
  <si>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</si>
  <si>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</si>
  <si>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</si>
  <si>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</si>
  <si>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</si>
  <si>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</si>
  <si>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</si>
  <si>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</si>
  <si>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Q125</t>
  </si>
  <si>
    <t>Q225</t>
  </si>
  <si>
    <t>Q325</t>
  </si>
  <si>
    <t>Q425</t>
  </si>
  <si>
    <t>Technology Margin</t>
  </si>
  <si>
    <t>Content Margin</t>
  </si>
  <si>
    <t>Inventory Margin</t>
  </si>
  <si>
    <t>Undervalued</t>
  </si>
  <si>
    <t>Ad revenue</t>
  </si>
  <si>
    <t>Search revenue</t>
  </si>
  <si>
    <t>Licensing revenue</t>
  </si>
  <si>
    <t>Net finance expense</t>
  </si>
  <si>
    <t>Gain on investments</t>
  </si>
  <si>
    <t>Loss on equity</t>
  </si>
  <si>
    <t>Impairment</t>
  </si>
  <si>
    <t>SBC</t>
  </si>
  <si>
    <t>Other</t>
  </si>
  <si>
    <t>T/R</t>
  </si>
  <si>
    <t>OCA</t>
  </si>
  <si>
    <t>T/P</t>
  </si>
  <si>
    <t>D/R</t>
  </si>
  <si>
    <t>Other liabilities</t>
  </si>
  <si>
    <t>CFFO</t>
  </si>
  <si>
    <t>PP&amp;E</t>
  </si>
  <si>
    <t>Intangibles</t>
  </si>
  <si>
    <t>FCF</t>
  </si>
  <si>
    <t>Development</t>
  </si>
  <si>
    <t>Total CapEx</t>
  </si>
  <si>
    <t>Q121</t>
  </si>
  <si>
    <t>Q221</t>
  </si>
  <si>
    <t>Q321</t>
  </si>
  <si>
    <t>Q421</t>
  </si>
  <si>
    <t>Ad revenue y/y</t>
  </si>
  <si>
    <t>Search revenue y/y</t>
  </si>
  <si>
    <t>Licensing revenue y/y</t>
  </si>
  <si>
    <t>look at competitors, MAU,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</si>
</sst>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</xdr:colOff>
      <xdr:row>0</xdr:row>
      <xdr:rowOff>0</xdr:rowOff>
    </xdr:from>
    <xdr:to>
      <xdr:col>18</xdr:col>
      <xdr:colOff>22860</xdr:colOff>
      <xdr:row>73</xdr:row>
      <xdr:rowOff>106680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718106C-A8F0-0BDE-A0EA-F596A533D8C3}"/>
            </a:ext>
          </a:extLst>
        </xdr:cNvPr>
        <xdr:cNvCxnSpPr/>
      </xdr:nvCxnSpPr>
      <xdr:spPr>
        <a:xfrm>
          <a:off x="9540240" y="0"/>
          <a:ext cx="0" cy="129082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30480</xdr:colOff>
      <xdr:row>0</xdr:row>
      <xdr:rowOff>22860</xdr:rowOff>
    </xdr:from>
    <xdr:to>
      <xdr:col>27</xdr:col>
      <xdr:colOff>30480</xdr:colOff>
      <xdr:row>70</xdr:row>
      <xdr:rowOff>106680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9DFEC9A-6055-2CE0-108D-89A61BDA9F9E}"/>
            </a:ext>
          </a:extLst>
        </xdr:cNvPr>
        <xdr:cNvCxnSpPr/>
      </xdr:nvCxnSpPr>
      <xdr:spPr>
        <a:xfrm>
          <a:off x="15034260" y="22860"/>
          <a:ext cx="0" cy="123367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F24F-0FF1-4D97-8831-8965AF24963A}">
  <dimension ref="B2:I12"/>
  <sheetViews>
    <sheetView workbookViewId="0">
      <selection activeCell="D4" sqref="D4"/>
    </sheetView>
  </sheetViews>
  <sheetFormatPr defaultRowHeight="14.4" x14ac:dyDescent="0.3"/>
  <cols>
    <col min="6" max="8" width="14.44140625" style="4" customWidth="1"/>
  </cols>
  <sheetData>
    <row r="2" spans="2:9" x14ac:dyDescent="0.3">
      <c r="F2" s="4" t="s">
        <v>8</v>
      </c>
      <c r="G2" s="4" t="s">
        <v>9</v>
      </c>
      <c r="H2" s="4" t="s">
        <v>10</v>
      </c>
    </row>
    <row r="3" spans="2:9" x14ac:dyDescent="0.3">
      <c r="B3" s="1" t="s">
        <v>0</v>
      </c>
      <c r="C3" t="s">
        <v>1</v>
      </c>
      <c r="D3" s="2">
        <v>15</v>
      </c>
      <c r="F3" s="5">
        <v>45751</v>
      </c>
      <c r="G3" s="5">
        <f ca="1">TODAY()</f>
        <v>45751</v>
      </c>
      <c r="H3" s="5">
        <v>45771</v>
      </c>
    </row>
    <row r="4" spans="2:9" x14ac:dyDescent="0.3">
      <c r="C4" t="s">
        <v>2</v>
      </c>
      <c r="D4" s="3">
        <v>88.5</v>
      </c>
    </row>
    <row r="5" spans="2:9" x14ac:dyDescent="0.3">
      <c r="C5" t="s">
        <v>3</v>
      </c>
      <c r="D5" s="3">
        <f>D3*D4</f>
        <v>1327.5</v>
      </c>
    </row>
    <row r="6" spans="2:9" x14ac:dyDescent="0.3">
      <c r="C6" t="s">
        <v>4</v>
      </c>
      <c r="D6" s="3">
        <f>93.9</f>
        <v>93.9</v>
      </c>
    </row>
    <row r="7" spans="2:9" x14ac:dyDescent="0.3">
      <c r="C7" t="s">
        <v>5</v>
      </c>
      <c r="D7" s="3">
        <v>0</v>
      </c>
    </row>
    <row r="8" spans="2:9" x14ac:dyDescent="0.3">
      <c r="C8" t="s">
        <v>6</v>
      </c>
      <c r="D8" s="3">
        <f>D6-D7</f>
        <v>93.9</v>
      </c>
    </row>
    <row r="9" spans="2:9" x14ac:dyDescent="0.3">
      <c r="C9" t="s">
        <v>7</v>
      </c>
      <c r="D9" s="3">
        <f>D5-D8</f>
        <v>1233.5999999999999</v>
      </c>
    </row>
    <row r="12" spans="2:9" x14ac:dyDescent="0.3">
      <c r="I12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86974-423B-4A8A-B377-188B73E3D0FA}">
  <dimension ref="B2:EN73"/>
  <sheetViews>
    <sheetView tabSelected="1" workbookViewId="0">
      <pane xSplit="2" ySplit="2" topLeftCell="Y35" activePane="bottomRight" state="frozen"/>
      <selection pane="topRight" activeCell="C1" sqref="C1"/>
      <selection pane="bottomLeft" activeCell="A3" sqref="A3"/>
      <selection pane="bottomRight" activeCell="AP35" sqref="AP35"/>
    </sheetView>
  </sheetViews>
  <sheetFormatPr defaultRowHeight="14.4" x14ac:dyDescent="0.3"/>
  <cols>
    <col min="2" max="2" width="23.21875" customWidth="1"/>
    <col min="3" max="6" width="8.88671875" customWidth="1"/>
    <col min="40" max="40" width="12" bestFit="1" customWidth="1"/>
    <col min="41" max="41" width="17.33203125" bestFit="1" customWidth="1"/>
  </cols>
  <sheetData>
    <row r="2" spans="2:38" x14ac:dyDescent="0.3">
      <c r="C2" s="6" t="s">
        <v>89</v>
      </c>
      <c r="D2" s="6" t="s">
        <v>90</v>
      </c>
      <c r="E2" s="6" t="s">
        <v>91</v>
      </c>
      <c r="F2" s="6" t="s">
        <v>92</v>
      </c>
      <c r="G2" s="6" t="s">
        <v>11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6" t="s">
        <v>17</v>
      </c>
      <c r="N2" s="6" t="s">
        <v>18</v>
      </c>
      <c r="O2" s="6" t="s">
        <v>19</v>
      </c>
      <c r="P2" s="6" t="s">
        <v>20</v>
      </c>
      <c r="Q2" s="6" t="s">
        <v>21</v>
      </c>
      <c r="R2" s="6" t="s">
        <v>22</v>
      </c>
      <c r="S2" s="6" t="s">
        <v>61</v>
      </c>
      <c r="T2" s="6" t="s">
        <v>62</v>
      </c>
      <c r="U2" s="6" t="s">
        <v>63</v>
      </c>
      <c r="V2" s="6" t="s">
        <v>64</v>
      </c>
      <c r="X2">
        <v>2021</v>
      </c>
      <c r="Y2">
        <v>2022</v>
      </c>
      <c r="Z2">
        <v>2023</v>
      </c>
      <c r="AA2">
        <v>2024</v>
      </c>
      <c r="AB2">
        <v>2025</v>
      </c>
      <c r="AC2">
        <v>2026</v>
      </c>
      <c r="AD2">
        <v>2027</v>
      </c>
      <c r="AE2">
        <v>2028</v>
      </c>
      <c r="AF2">
        <v>2029</v>
      </c>
      <c r="AG2">
        <v>2030</v>
      </c>
      <c r="AH2">
        <v>2031</v>
      </c>
      <c r="AI2">
        <v>2032</v>
      </c>
      <c r="AJ2">
        <v>2033</v>
      </c>
      <c r="AK2">
        <v>2034</v>
      </c>
      <c r="AL2">
        <v>2035</v>
      </c>
    </row>
    <row r="3" spans="2:38" x14ac:dyDescent="0.3">
      <c r="B3" t="s">
        <v>69</v>
      </c>
      <c r="C3" s="3">
        <v>26.7</v>
      </c>
      <c r="D3" s="3">
        <v>28.9</v>
      </c>
      <c r="E3" s="3">
        <v>34.9</v>
      </c>
      <c r="F3" s="3">
        <v>36.700000000000003</v>
      </c>
      <c r="G3" s="11">
        <v>38.5</v>
      </c>
      <c r="H3" s="11">
        <v>43.1</v>
      </c>
      <c r="I3" s="11">
        <v>49.1</v>
      </c>
      <c r="J3" s="11">
        <v>56.8</v>
      </c>
      <c r="K3" s="11">
        <v>48.5</v>
      </c>
      <c r="L3" s="11">
        <v>53.8</v>
      </c>
      <c r="M3" s="11">
        <v>60.8</v>
      </c>
      <c r="N3" s="11">
        <v>67.8</v>
      </c>
      <c r="O3" s="11">
        <v>58.6</v>
      </c>
      <c r="P3" s="11">
        <v>64.599999999999994</v>
      </c>
      <c r="Q3" s="3">
        <v>76.8</v>
      </c>
      <c r="R3" s="11">
        <v>93.3</v>
      </c>
      <c r="S3" s="11">
        <f>O3*1.33</f>
        <v>77.938000000000002</v>
      </c>
      <c r="T3" s="11">
        <f>P3*1.28</f>
        <v>82.687999999999988</v>
      </c>
      <c r="U3" s="11">
        <f>Q3*1.23</f>
        <v>94.463999999999999</v>
      </c>
      <c r="V3" s="11">
        <f>R3*1.17</f>
        <v>109.16099999999999</v>
      </c>
      <c r="X3" s="3">
        <f>SUM(C3:F3)</f>
        <v>127.2</v>
      </c>
      <c r="Y3" s="3">
        <f>SUM(G3:J3)</f>
        <v>187.5</v>
      </c>
      <c r="Z3" s="3">
        <f t="shared" ref="Z3:Z5" si="0">SUM(K3:N3)</f>
        <v>230.89999999999998</v>
      </c>
      <c r="AA3" s="3">
        <f>SUM(O3:R3)</f>
        <v>293.3</v>
      </c>
      <c r="AB3" s="3">
        <f>SUM(S3:V3)</f>
        <v>364.25099999999998</v>
      </c>
      <c r="AC3" s="3">
        <f>AB3*1.15</f>
        <v>418.88864999999993</v>
      </c>
      <c r="AD3" s="3">
        <f>AC3*1.1</f>
        <v>460.77751499999994</v>
      </c>
      <c r="AE3" s="3">
        <f>AD3*1.05</f>
        <v>483.81639074999998</v>
      </c>
      <c r="AF3" s="3">
        <f>AE3*1.04</f>
        <v>503.16904638</v>
      </c>
      <c r="AG3" s="3">
        <f>AF3*1.03</f>
        <v>518.26411777140004</v>
      </c>
      <c r="AH3" s="3">
        <f>AG3*1.02</f>
        <v>528.62940012682805</v>
      </c>
      <c r="AI3" s="3">
        <f t="shared" ref="AI3:AL3" si="1">AH3*1.02</f>
        <v>539.20198812936462</v>
      </c>
      <c r="AJ3" s="3">
        <f t="shared" si="1"/>
        <v>549.98602789195195</v>
      </c>
      <c r="AK3" s="3">
        <f t="shared" si="1"/>
        <v>560.985748449791</v>
      </c>
      <c r="AL3" s="3">
        <f t="shared" si="1"/>
        <v>572.20546341878685</v>
      </c>
    </row>
    <row r="4" spans="2:38" x14ac:dyDescent="0.3">
      <c r="B4" t="s">
        <v>70</v>
      </c>
      <c r="C4" s="3">
        <v>23.4</v>
      </c>
      <c r="D4" s="3">
        <v>29.8</v>
      </c>
      <c r="E4" s="3">
        <v>30.7</v>
      </c>
      <c r="F4" s="3">
        <v>34.799999999999997</v>
      </c>
      <c r="G4" s="11">
        <v>32</v>
      </c>
      <c r="H4" s="11">
        <v>33.700000000000003</v>
      </c>
      <c r="I4" s="11">
        <v>35.4</v>
      </c>
      <c r="J4" s="11">
        <v>39</v>
      </c>
      <c r="K4" s="11">
        <v>37.799999999999997</v>
      </c>
      <c r="L4" s="11">
        <v>38.9</v>
      </c>
      <c r="M4" s="11">
        <v>40.799999999999997</v>
      </c>
      <c r="N4" s="11">
        <v>44.7</v>
      </c>
      <c r="O4" s="11">
        <v>43.1</v>
      </c>
      <c r="P4" s="11">
        <v>44.5</v>
      </c>
      <c r="Q4" s="3">
        <v>46.3</v>
      </c>
      <c r="R4" s="11">
        <v>52.3</v>
      </c>
      <c r="S4" s="11">
        <f>O4*1.16</f>
        <v>49.995999999999995</v>
      </c>
      <c r="T4" s="11">
        <f>P4*1.15</f>
        <v>51.174999999999997</v>
      </c>
      <c r="U4" s="11">
        <f>Q4*1.14</f>
        <v>52.781999999999989</v>
      </c>
      <c r="V4" s="11">
        <f>R4*1.13</f>
        <v>59.09899999999999</v>
      </c>
      <c r="X4" s="3">
        <f>SUM(C4:F4)</f>
        <v>118.7</v>
      </c>
      <c r="Y4" s="3">
        <f t="shared" ref="Y4:Y5" si="2">SUM(G4:J4)</f>
        <v>140.1</v>
      </c>
      <c r="Z4" s="3">
        <f t="shared" si="0"/>
        <v>162.19999999999999</v>
      </c>
      <c r="AA4" s="3">
        <f t="shared" ref="AA4:AA5" si="3">SUM(O4:R4)</f>
        <v>186.2</v>
      </c>
      <c r="AB4" s="3">
        <f t="shared" ref="AB4:AB5" si="4">SUM(S4:V4)</f>
        <v>213.05199999999996</v>
      </c>
      <c r="AC4" s="3">
        <f>AB4*1.12</f>
        <v>238.61823999999999</v>
      </c>
      <c r="AD4" s="3">
        <f>AC4*1.08</f>
        <v>257.70769919999998</v>
      </c>
      <c r="AE4" s="3">
        <f>AD4*1.06</f>
        <v>273.17016115199999</v>
      </c>
      <c r="AF4" s="3">
        <f>AE4*1.05</f>
        <v>286.82866920959998</v>
      </c>
      <c r="AG4" s="3">
        <f>AF4*1.04</f>
        <v>298.30181597798401</v>
      </c>
      <c r="AH4" s="3">
        <f>AG4*1.03</f>
        <v>307.25087045732351</v>
      </c>
      <c r="AI4" s="3">
        <f>AH4*1.02</f>
        <v>313.39588786646999</v>
      </c>
      <c r="AJ4" s="3">
        <f t="shared" ref="AJ4:AL4" si="5">AI4*1.02</f>
        <v>319.66380562379942</v>
      </c>
      <c r="AK4" s="3">
        <f t="shared" si="5"/>
        <v>326.05708173627539</v>
      </c>
      <c r="AL4" s="3">
        <f t="shared" si="5"/>
        <v>332.57822337100089</v>
      </c>
    </row>
    <row r="5" spans="2:38" x14ac:dyDescent="0.3">
      <c r="B5" t="s">
        <v>71</v>
      </c>
      <c r="C5" s="3">
        <v>1.4</v>
      </c>
      <c r="D5" s="3">
        <v>1.4</v>
      </c>
      <c r="E5" s="3">
        <v>1</v>
      </c>
      <c r="F5" s="3">
        <v>1.2</v>
      </c>
      <c r="G5" s="11">
        <v>1.1000000000000001</v>
      </c>
      <c r="H5" s="11">
        <v>1</v>
      </c>
      <c r="I5" s="11">
        <v>0.8</v>
      </c>
      <c r="J5" s="11">
        <v>0.5</v>
      </c>
      <c r="K5" s="11">
        <v>0.7</v>
      </c>
      <c r="L5" s="11">
        <v>1.5</v>
      </c>
      <c r="M5" s="11">
        <v>1</v>
      </c>
      <c r="N5" s="11">
        <v>0.5</v>
      </c>
      <c r="O5" s="11">
        <v>0.1</v>
      </c>
      <c r="P5" s="11">
        <v>0.6</v>
      </c>
      <c r="Q5" s="3">
        <v>0.1</v>
      </c>
      <c r="R5" s="11">
        <v>0.2</v>
      </c>
      <c r="S5" s="11">
        <f>O5*0.3</f>
        <v>0.03</v>
      </c>
      <c r="T5" s="11">
        <f t="shared" ref="T5:V5" si="6">P5*0.3</f>
        <v>0.18</v>
      </c>
      <c r="U5" s="11">
        <f t="shared" si="6"/>
        <v>0.03</v>
      </c>
      <c r="V5" s="11">
        <f t="shared" si="6"/>
        <v>0.06</v>
      </c>
      <c r="X5" s="3">
        <f>SUM(C5:F5)</f>
        <v>5</v>
      </c>
      <c r="Y5" s="3">
        <f t="shared" si="2"/>
        <v>3.4000000000000004</v>
      </c>
      <c r="Z5" s="3">
        <f t="shared" si="0"/>
        <v>3.7</v>
      </c>
      <c r="AA5" s="3">
        <f t="shared" si="3"/>
        <v>1</v>
      </c>
      <c r="AB5" s="3">
        <f t="shared" si="4"/>
        <v>0.3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</row>
    <row r="6" spans="2:38" x14ac:dyDescent="0.3">
      <c r="B6" t="s">
        <v>23</v>
      </c>
      <c r="F6" s="3">
        <f t="shared" ref="F6" si="7">SUM(F3:F5)</f>
        <v>72.7</v>
      </c>
      <c r="G6" s="3">
        <f t="shared" ref="G6" si="8">SUM(G3:G5)</f>
        <v>71.599999999999994</v>
      </c>
      <c r="H6" s="3">
        <f t="shared" ref="H6" si="9">SUM(H3:H5)</f>
        <v>77.800000000000011</v>
      </c>
      <c r="I6" s="3">
        <f t="shared" ref="I6:Q6" si="10">SUM(I3:I5)</f>
        <v>85.3</v>
      </c>
      <c r="J6" s="3">
        <f t="shared" si="10"/>
        <v>96.3</v>
      </c>
      <c r="K6" s="3">
        <f t="shared" si="10"/>
        <v>87</v>
      </c>
      <c r="L6" s="3">
        <f t="shared" si="10"/>
        <v>94.199999999999989</v>
      </c>
      <c r="M6" s="3">
        <f t="shared" si="10"/>
        <v>102.6</v>
      </c>
      <c r="N6" s="3">
        <f t="shared" si="10"/>
        <v>113</v>
      </c>
      <c r="O6" s="3">
        <f t="shared" si="10"/>
        <v>101.8</v>
      </c>
      <c r="P6" s="3">
        <f t="shared" si="10"/>
        <v>109.69999999999999</v>
      </c>
      <c r="Q6" s="3">
        <f t="shared" si="10"/>
        <v>123.19999999999999</v>
      </c>
      <c r="R6" s="3">
        <f>SUM(R3:R5)</f>
        <v>145.79999999999998</v>
      </c>
      <c r="S6" s="3">
        <f t="shared" ref="S6:V6" si="11">SUM(S3:S5)</f>
        <v>127.964</v>
      </c>
      <c r="T6" s="3">
        <f t="shared" si="11"/>
        <v>134.04300000000001</v>
      </c>
      <c r="U6" s="3">
        <f t="shared" si="11"/>
        <v>147.27599999999998</v>
      </c>
      <c r="V6" s="3">
        <f t="shared" si="11"/>
        <v>168.32</v>
      </c>
      <c r="X6" s="3">
        <v>251</v>
      </c>
      <c r="Y6" s="3">
        <v>331</v>
      </c>
      <c r="Z6" s="3">
        <f>SUM(K6:N6)</f>
        <v>396.79999999999995</v>
      </c>
      <c r="AA6" s="3">
        <f>SUM(O6:R6)</f>
        <v>480.5</v>
      </c>
      <c r="AB6" s="3">
        <f>SUM(S6:V6)</f>
        <v>577.60300000000007</v>
      </c>
      <c r="AC6" s="3">
        <f>SUM(AC3:AC5)</f>
        <v>657.50688999999988</v>
      </c>
      <c r="AD6" s="3">
        <f t="shared" ref="AD6:AL6" si="12">SUM(AD3:AD5)</f>
        <v>718.48521419999997</v>
      </c>
      <c r="AE6" s="3">
        <f t="shared" si="12"/>
        <v>756.98655190199997</v>
      </c>
      <c r="AF6" s="3">
        <f t="shared" si="12"/>
        <v>789.99771558959992</v>
      </c>
      <c r="AG6" s="3">
        <f t="shared" si="12"/>
        <v>816.56593374938404</v>
      </c>
      <c r="AH6" s="3">
        <f t="shared" si="12"/>
        <v>835.8802705841515</v>
      </c>
      <c r="AI6" s="3">
        <f t="shared" si="12"/>
        <v>852.59787599583456</v>
      </c>
      <c r="AJ6" s="3">
        <f t="shared" si="12"/>
        <v>869.64983351575142</v>
      </c>
      <c r="AK6" s="3">
        <f t="shared" si="12"/>
        <v>887.04283018606634</v>
      </c>
      <c r="AL6" s="3">
        <f t="shared" si="12"/>
        <v>904.78368678978768</v>
      </c>
    </row>
    <row r="7" spans="2:38" x14ac:dyDescent="0.3">
      <c r="B7" t="s">
        <v>24</v>
      </c>
      <c r="I7" s="3">
        <v>0.1</v>
      </c>
      <c r="J7" s="3">
        <v>0.1</v>
      </c>
      <c r="K7" s="3">
        <v>0.1</v>
      </c>
      <c r="L7" s="3">
        <v>0.1</v>
      </c>
      <c r="M7" s="3">
        <v>0</v>
      </c>
      <c r="N7" s="3">
        <v>0.5</v>
      </c>
      <c r="O7" s="3">
        <v>0.3</v>
      </c>
      <c r="P7" s="3">
        <v>1.3</v>
      </c>
      <c r="Q7" s="3">
        <v>0.7</v>
      </c>
      <c r="R7" s="3">
        <v>0.1</v>
      </c>
      <c r="S7" s="3">
        <v>0.5</v>
      </c>
      <c r="T7" s="3">
        <v>0.5</v>
      </c>
      <c r="U7" s="3">
        <v>0.5</v>
      </c>
      <c r="V7" s="3">
        <v>0.5</v>
      </c>
      <c r="X7" s="3">
        <v>0.5</v>
      </c>
      <c r="Y7" s="3">
        <v>0.5</v>
      </c>
      <c r="Z7" s="3">
        <f>SUM(K7:N7)</f>
        <v>0.7</v>
      </c>
      <c r="AA7" s="3">
        <f>SUM(O7:R7)</f>
        <v>2.4</v>
      </c>
      <c r="AB7" s="3">
        <f>SUM(S7:V7)</f>
        <v>2</v>
      </c>
      <c r="AC7" s="3">
        <f t="shared" ref="AC7:AF7" si="13">AB7*1.2</f>
        <v>2.4</v>
      </c>
      <c r="AD7" s="3">
        <f t="shared" si="13"/>
        <v>2.88</v>
      </c>
      <c r="AE7" s="3">
        <f t="shared" si="13"/>
        <v>3.456</v>
      </c>
      <c r="AF7" s="3">
        <f t="shared" si="13"/>
        <v>4.1471999999999998</v>
      </c>
      <c r="AG7" s="3">
        <f>AF7*1.1</f>
        <v>4.5619199999999998</v>
      </c>
      <c r="AH7" s="3">
        <f t="shared" ref="AH7:AL7" si="14">AG7*1.1</f>
        <v>5.0181120000000004</v>
      </c>
      <c r="AI7" s="3">
        <f t="shared" si="14"/>
        <v>5.5199232000000009</v>
      </c>
      <c r="AJ7" s="3">
        <f t="shared" si="14"/>
        <v>6.0719155200000019</v>
      </c>
      <c r="AK7" s="3">
        <f t="shared" si="14"/>
        <v>6.6791070720000025</v>
      </c>
      <c r="AL7" s="3">
        <f t="shared" si="14"/>
        <v>7.3470177792000033</v>
      </c>
    </row>
    <row r="8" spans="2:38" s="1" customFormat="1" x14ac:dyDescent="0.3">
      <c r="B8" s="1" t="s">
        <v>25</v>
      </c>
      <c r="I8" s="8">
        <f t="shared" ref="I8:P8" si="15">I6+I7</f>
        <v>85.399999999999991</v>
      </c>
      <c r="J8" s="8">
        <f t="shared" si="15"/>
        <v>96.399999999999991</v>
      </c>
      <c r="K8" s="8">
        <f t="shared" si="15"/>
        <v>87.1</v>
      </c>
      <c r="L8" s="8">
        <f t="shared" si="15"/>
        <v>94.299999999999983</v>
      </c>
      <c r="M8" s="8">
        <f t="shared" si="15"/>
        <v>102.6</v>
      </c>
      <c r="N8" s="8">
        <f t="shared" si="15"/>
        <v>113.5</v>
      </c>
      <c r="O8" s="8">
        <f t="shared" si="15"/>
        <v>102.1</v>
      </c>
      <c r="P8" s="8">
        <f t="shared" si="15"/>
        <v>110.99999999999999</v>
      </c>
      <c r="Q8" s="8">
        <f t="shared" ref="Q8:V8" si="16">Q6+Q7</f>
        <v>123.89999999999999</v>
      </c>
      <c r="R8" s="8">
        <f t="shared" si="16"/>
        <v>145.89999999999998</v>
      </c>
      <c r="S8" s="8">
        <f t="shared" si="16"/>
        <v>128.464</v>
      </c>
      <c r="T8" s="8">
        <f t="shared" si="16"/>
        <v>134.54300000000001</v>
      </c>
      <c r="U8" s="8">
        <f t="shared" si="16"/>
        <v>147.77599999999998</v>
      </c>
      <c r="V8" s="8">
        <f t="shared" si="16"/>
        <v>168.82</v>
      </c>
      <c r="X8" s="8">
        <f>X6+X7</f>
        <v>251.5</v>
      </c>
      <c r="Y8" s="8">
        <f>Y6+Y7</f>
        <v>331.5</v>
      </c>
      <c r="Z8" s="8">
        <f>Z6+Z7</f>
        <v>397.49999999999994</v>
      </c>
      <c r="AA8" s="8">
        <f>AA6+AA7</f>
        <v>482.9</v>
      </c>
      <c r="AB8" s="8">
        <f>AB6+AB7</f>
        <v>579.60300000000007</v>
      </c>
      <c r="AC8" s="8">
        <f t="shared" ref="AC8:AL8" si="17">AC6+AC7</f>
        <v>659.90688999999986</v>
      </c>
      <c r="AD8" s="8">
        <f t="shared" si="17"/>
        <v>721.36521419999997</v>
      </c>
      <c r="AE8" s="8">
        <f t="shared" si="17"/>
        <v>760.44255190199999</v>
      </c>
      <c r="AF8" s="8">
        <f t="shared" si="17"/>
        <v>794.14491558959992</v>
      </c>
      <c r="AG8" s="8">
        <f t="shared" si="17"/>
        <v>821.12785374938403</v>
      </c>
      <c r="AH8" s="8">
        <f t="shared" si="17"/>
        <v>840.89838258415148</v>
      </c>
      <c r="AI8" s="8">
        <f t="shared" si="17"/>
        <v>858.11779919583455</v>
      </c>
      <c r="AJ8" s="8">
        <f t="shared" si="17"/>
        <v>875.72174903575137</v>
      </c>
      <c r="AK8" s="8">
        <f t="shared" si="17"/>
        <v>893.7219372580663</v>
      </c>
      <c r="AL8" s="8">
        <f t="shared" si="17"/>
        <v>912.13070456898765</v>
      </c>
    </row>
    <row r="9" spans="2:38" x14ac:dyDescent="0.3">
      <c r="B9" t="s">
        <v>26</v>
      </c>
      <c r="I9" s="3">
        <v>1</v>
      </c>
      <c r="J9" s="3">
        <v>0.8</v>
      </c>
      <c r="K9" s="3">
        <v>0.8</v>
      </c>
      <c r="L9" s="3">
        <v>1.1000000000000001</v>
      </c>
      <c r="M9" s="3">
        <v>0.7</v>
      </c>
      <c r="N9" s="3">
        <v>0.5</v>
      </c>
      <c r="O9" s="3">
        <v>3.8</v>
      </c>
      <c r="P9" s="3">
        <v>1.9</v>
      </c>
      <c r="Q9" s="3">
        <v>1.8</v>
      </c>
      <c r="R9" s="3">
        <v>2.5</v>
      </c>
      <c r="S9" s="3">
        <f>S8*0.02</f>
        <v>2.56928</v>
      </c>
      <c r="T9" s="3">
        <f t="shared" ref="T9" si="18">T8*0.02</f>
        <v>2.6908600000000003</v>
      </c>
      <c r="U9" s="3">
        <f t="shared" ref="U9" si="19">U8*0.02</f>
        <v>2.9555199999999995</v>
      </c>
      <c r="V9" s="3">
        <f t="shared" ref="V9" si="20">V8*0.02</f>
        <v>3.3763999999999998</v>
      </c>
      <c r="X9" s="3">
        <v>4.5</v>
      </c>
      <c r="Y9" s="3">
        <v>4.0999999999999996</v>
      </c>
      <c r="Z9" s="3">
        <f>SUM(K9:N9)</f>
        <v>3.1</v>
      </c>
      <c r="AA9" s="3">
        <f t="shared" ref="AA9:AA11" si="21">SUM(O9:R9)</f>
        <v>10</v>
      </c>
      <c r="AB9" s="3">
        <f>SUM(S9:V9)</f>
        <v>11.59206</v>
      </c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2:38" x14ac:dyDescent="0.3">
      <c r="B10" t="s">
        <v>27</v>
      </c>
      <c r="I10" s="3">
        <v>0.8</v>
      </c>
      <c r="J10" s="3">
        <v>0.9</v>
      </c>
      <c r="K10" s="3">
        <v>0.9</v>
      </c>
      <c r="L10" s="3">
        <v>1.1000000000000001</v>
      </c>
      <c r="M10" s="3">
        <v>1.2</v>
      </c>
      <c r="N10" s="3">
        <v>1.1000000000000001</v>
      </c>
      <c r="O10" s="3">
        <v>1</v>
      </c>
      <c r="P10" s="3">
        <v>0.9</v>
      </c>
      <c r="Q10" s="3">
        <v>0.9</v>
      </c>
      <c r="R10" s="3">
        <v>1.1000000000000001</v>
      </c>
      <c r="S10" s="3">
        <f>S8*0.01</f>
        <v>1.28464</v>
      </c>
      <c r="T10" s="3">
        <f t="shared" ref="T10:V10" si="22">T8*0.01</f>
        <v>1.3454300000000001</v>
      </c>
      <c r="U10" s="3">
        <f t="shared" si="22"/>
        <v>1.4777599999999997</v>
      </c>
      <c r="V10" s="3">
        <f t="shared" si="22"/>
        <v>1.6881999999999999</v>
      </c>
      <c r="X10" s="3">
        <v>3.7</v>
      </c>
      <c r="Y10" s="3">
        <v>3.8</v>
      </c>
      <c r="Z10" s="3">
        <f>SUM(K10:N10)</f>
        <v>4.3000000000000007</v>
      </c>
      <c r="AA10" s="3">
        <f t="shared" si="21"/>
        <v>3.9</v>
      </c>
      <c r="AB10" s="3">
        <f>SUM(S10:V10)</f>
        <v>5.79603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2:38" x14ac:dyDescent="0.3">
      <c r="B11" t="s">
        <v>28</v>
      </c>
      <c r="I11" s="3">
        <v>13.9</v>
      </c>
      <c r="J11" s="3">
        <v>17.3</v>
      </c>
      <c r="K11" s="3">
        <v>15.2</v>
      </c>
      <c r="L11" s="3">
        <v>20.399999999999999</v>
      </c>
      <c r="M11" s="3">
        <v>23.3</v>
      </c>
      <c r="N11" s="3">
        <v>27</v>
      </c>
      <c r="O11" s="3">
        <v>19.3</v>
      </c>
      <c r="P11" s="3">
        <v>24.9</v>
      </c>
      <c r="Q11" s="3">
        <v>30.3</v>
      </c>
      <c r="R11" s="3">
        <v>44.1</v>
      </c>
      <c r="S11" s="3">
        <f>S8*0.27</f>
        <v>34.685279999999999</v>
      </c>
      <c r="T11" s="3">
        <f>T8*0.28</f>
        <v>37.672040000000003</v>
      </c>
      <c r="U11" s="3">
        <f>U8*0.29</f>
        <v>42.855039999999995</v>
      </c>
      <c r="V11" s="3">
        <f>V8*0.3</f>
        <v>50.645999999999994</v>
      </c>
      <c r="X11" s="3">
        <v>5.5</v>
      </c>
      <c r="Y11" s="3">
        <v>46.7</v>
      </c>
      <c r="Z11" s="3">
        <f>SUM(K11:N11)</f>
        <v>85.899999999999991</v>
      </c>
      <c r="AA11" s="3">
        <f t="shared" si="21"/>
        <v>118.6</v>
      </c>
      <c r="AB11" s="3">
        <f>SUM(S11:V11)</f>
        <v>165.85835999999998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2:38" x14ac:dyDescent="0.3">
      <c r="B12" t="s">
        <v>29</v>
      </c>
      <c r="I12" s="3">
        <f t="shared" ref="I12:S12" si="23">I9+I10+I11</f>
        <v>15.700000000000001</v>
      </c>
      <c r="J12" s="3">
        <f t="shared" si="23"/>
        <v>19</v>
      </c>
      <c r="K12" s="3">
        <f t="shared" si="23"/>
        <v>16.899999999999999</v>
      </c>
      <c r="L12" s="3">
        <f t="shared" si="23"/>
        <v>22.599999999999998</v>
      </c>
      <c r="M12" s="3">
        <f t="shared" si="23"/>
        <v>25.2</v>
      </c>
      <c r="N12" s="3">
        <f t="shared" si="23"/>
        <v>28.6</v>
      </c>
      <c r="O12" s="3">
        <f t="shared" si="23"/>
        <v>24.1</v>
      </c>
      <c r="P12" s="3">
        <f t="shared" si="23"/>
        <v>27.7</v>
      </c>
      <c r="Q12" s="3">
        <f t="shared" si="23"/>
        <v>33</v>
      </c>
      <c r="R12" s="3">
        <f t="shared" si="23"/>
        <v>47.7</v>
      </c>
      <c r="S12" s="3">
        <f t="shared" si="23"/>
        <v>38.539200000000001</v>
      </c>
      <c r="T12" s="3">
        <f t="shared" ref="T12" si="24">T9+T10+T11</f>
        <v>41.708330000000004</v>
      </c>
      <c r="U12" s="3">
        <f t="shared" ref="U12" si="25">U9+U10+U11</f>
        <v>47.288319999999992</v>
      </c>
      <c r="V12" s="3">
        <f t="shared" ref="V12" si="26">V9+V10+V11</f>
        <v>55.710599999999992</v>
      </c>
      <c r="X12" s="3">
        <f>X9+X10+X11</f>
        <v>13.7</v>
      </c>
      <c r="Y12" s="3">
        <f>Y9+Y10+Y11</f>
        <v>54.6</v>
      </c>
      <c r="Z12" s="3">
        <f>Z9+Z10+Z11</f>
        <v>93.3</v>
      </c>
      <c r="AA12" s="3">
        <f>SUM(O12:R12)</f>
        <v>132.5</v>
      </c>
      <c r="AB12" s="3">
        <f>AB9+AB10+AB11</f>
        <v>183.24644999999998</v>
      </c>
      <c r="AC12" s="3">
        <f t="shared" ref="AC12:AL12" si="27">AC8-AC13</f>
        <v>204.5711359</v>
      </c>
      <c r="AD12" s="3">
        <f t="shared" si="27"/>
        <v>216.40956426000002</v>
      </c>
      <c r="AE12" s="3">
        <f t="shared" si="27"/>
        <v>228.13276557059999</v>
      </c>
      <c r="AF12" s="3">
        <f t="shared" si="27"/>
        <v>238.24347467688006</v>
      </c>
      <c r="AG12" s="3">
        <f t="shared" si="27"/>
        <v>246.33835612481528</v>
      </c>
      <c r="AH12" s="3">
        <f t="shared" si="27"/>
        <v>252.26951477524551</v>
      </c>
      <c r="AI12" s="3">
        <f t="shared" si="27"/>
        <v>257.43533975875039</v>
      </c>
      <c r="AJ12" s="3">
        <f t="shared" si="27"/>
        <v>262.71652471072548</v>
      </c>
      <c r="AK12" s="3">
        <f t="shared" si="27"/>
        <v>268.1165811774199</v>
      </c>
      <c r="AL12" s="3">
        <f t="shared" si="27"/>
        <v>273.63921137069633</v>
      </c>
    </row>
    <row r="13" spans="2:38" s="1" customFormat="1" x14ac:dyDescent="0.3">
      <c r="B13" s="1" t="s">
        <v>30</v>
      </c>
      <c r="I13" s="8">
        <f t="shared" ref="I13:S13" si="28">I8-I12</f>
        <v>69.699999999999989</v>
      </c>
      <c r="J13" s="8">
        <f t="shared" si="28"/>
        <v>77.399999999999991</v>
      </c>
      <c r="K13" s="8">
        <f t="shared" si="28"/>
        <v>70.199999999999989</v>
      </c>
      <c r="L13" s="8">
        <f t="shared" si="28"/>
        <v>71.699999999999989</v>
      </c>
      <c r="M13" s="8">
        <f t="shared" si="28"/>
        <v>77.399999999999991</v>
      </c>
      <c r="N13" s="8">
        <f t="shared" si="28"/>
        <v>84.9</v>
      </c>
      <c r="O13" s="8">
        <f t="shared" si="28"/>
        <v>78</v>
      </c>
      <c r="P13" s="8">
        <f t="shared" si="28"/>
        <v>83.299999999999983</v>
      </c>
      <c r="Q13" s="8">
        <f t="shared" si="28"/>
        <v>90.899999999999991</v>
      </c>
      <c r="R13" s="8">
        <f t="shared" si="28"/>
        <v>98.199999999999974</v>
      </c>
      <c r="S13" s="8">
        <f t="shared" si="28"/>
        <v>89.924800000000005</v>
      </c>
      <c r="T13" s="8">
        <f t="shared" ref="T13" si="29">T8-T12</f>
        <v>92.834670000000003</v>
      </c>
      <c r="U13" s="8">
        <f t="shared" ref="U13" si="30">U8-U12</f>
        <v>100.48767999999998</v>
      </c>
      <c r="V13" s="8">
        <f t="shared" ref="V13" si="31">V8-V12</f>
        <v>113.10939999999999</v>
      </c>
      <c r="X13" s="8">
        <f>X8-X12</f>
        <v>237.8</v>
      </c>
      <c r="Y13" s="8">
        <f>Y8-Y12</f>
        <v>276.89999999999998</v>
      </c>
      <c r="Z13" s="8">
        <f>Z8-Z12</f>
        <v>304.19999999999993</v>
      </c>
      <c r="AA13" s="8">
        <f>AA8-AA12</f>
        <v>350.4</v>
      </c>
      <c r="AB13" s="8">
        <f>AB8-AB12</f>
        <v>396.35655000000008</v>
      </c>
      <c r="AC13" s="8">
        <f>AC8*0.69</f>
        <v>455.33575409999986</v>
      </c>
      <c r="AD13" s="8">
        <f>AD8*0.7</f>
        <v>504.95564993999994</v>
      </c>
      <c r="AE13" s="8">
        <f t="shared" ref="AE13:AL13" si="32">AE8*0.7</f>
        <v>532.30978633140001</v>
      </c>
      <c r="AF13" s="8">
        <f t="shared" si="32"/>
        <v>555.90144091271986</v>
      </c>
      <c r="AG13" s="8">
        <f t="shared" si="32"/>
        <v>574.78949762456875</v>
      </c>
      <c r="AH13" s="8">
        <f t="shared" si="32"/>
        <v>588.62886780890597</v>
      </c>
      <c r="AI13" s="8">
        <f t="shared" si="32"/>
        <v>600.68245943708416</v>
      </c>
      <c r="AJ13" s="8">
        <f t="shared" si="32"/>
        <v>613.00522432502589</v>
      </c>
      <c r="AK13" s="8">
        <f t="shared" si="32"/>
        <v>625.6053560806464</v>
      </c>
      <c r="AL13" s="8">
        <f t="shared" si="32"/>
        <v>638.49149319829132</v>
      </c>
    </row>
    <row r="14" spans="2:38" x14ac:dyDescent="0.3">
      <c r="B14" t="s">
        <v>31</v>
      </c>
      <c r="I14" s="3">
        <v>18</v>
      </c>
      <c r="J14" s="3">
        <v>21.1</v>
      </c>
      <c r="K14" s="3">
        <v>20.100000000000001</v>
      </c>
      <c r="L14" s="3">
        <v>21.4</v>
      </c>
      <c r="M14" s="3">
        <v>20.7</v>
      </c>
      <c r="N14" s="3">
        <v>20.6</v>
      </c>
      <c r="O14" s="3">
        <v>18.899999999999999</v>
      </c>
      <c r="P14" s="3">
        <v>19.8</v>
      </c>
      <c r="Q14" s="3">
        <v>23.2</v>
      </c>
      <c r="R14" s="3">
        <v>17.8</v>
      </c>
      <c r="S14" s="3">
        <f>O14*0.88</f>
        <v>16.631999999999998</v>
      </c>
      <c r="T14" s="3">
        <f>P14*0.9</f>
        <v>17.82</v>
      </c>
      <c r="U14" s="3">
        <f>Q14*0.8</f>
        <v>18.559999999999999</v>
      </c>
      <c r="V14" s="3">
        <f>R14*1.05</f>
        <v>18.690000000000001</v>
      </c>
      <c r="X14" s="3">
        <v>74.5</v>
      </c>
      <c r="Y14" s="3">
        <v>74.599999999999994</v>
      </c>
      <c r="Z14" s="3">
        <f>SUM(K14:N14)</f>
        <v>82.800000000000011</v>
      </c>
      <c r="AA14" s="3">
        <f>SUM(O14:R14)</f>
        <v>79.7</v>
      </c>
      <c r="AB14" s="3">
        <f>SUM(S14:V14)</f>
        <v>71.701999999999998</v>
      </c>
      <c r="AC14" s="3">
        <f>AB14*1.08</f>
        <v>77.438159999999996</v>
      </c>
      <c r="AD14" s="3">
        <f>AC14*1.05</f>
        <v>81.310068000000001</v>
      </c>
      <c r="AE14" s="3">
        <f>AD14*1.04</f>
        <v>84.562470720000007</v>
      </c>
      <c r="AF14" s="3">
        <f>AE14*1.03</f>
        <v>87.099344841600015</v>
      </c>
      <c r="AG14" s="3">
        <f>AF14*1.03</f>
        <v>89.71232518684802</v>
      </c>
      <c r="AH14" s="3">
        <f t="shared" ref="AH14:AL14" si="33">AG14*1.01</f>
        <v>90.609448438716498</v>
      </c>
      <c r="AI14" s="3">
        <f t="shared" si="33"/>
        <v>91.515542923103666</v>
      </c>
      <c r="AJ14" s="3">
        <f t="shared" si="33"/>
        <v>92.430698352334701</v>
      </c>
      <c r="AK14" s="3">
        <f t="shared" si="33"/>
        <v>93.355005335858053</v>
      </c>
      <c r="AL14" s="3">
        <f t="shared" si="33"/>
        <v>94.28855538921664</v>
      </c>
    </row>
    <row r="15" spans="2:38" x14ac:dyDescent="0.3">
      <c r="B15" t="s">
        <v>32</v>
      </c>
      <c r="I15" s="3">
        <v>26</v>
      </c>
      <c r="J15" s="3">
        <v>29.6</v>
      </c>
      <c r="K15" s="3">
        <v>24.4</v>
      </c>
      <c r="L15" s="3">
        <v>27</v>
      </c>
      <c r="M15" s="3">
        <v>28.4</v>
      </c>
      <c r="N15" s="3">
        <v>30.1</v>
      </c>
      <c r="O15" s="3">
        <v>29.5</v>
      </c>
      <c r="P15" s="3">
        <v>29</v>
      </c>
      <c r="Q15" s="3">
        <v>32.5</v>
      </c>
      <c r="R15" s="3">
        <v>40.9</v>
      </c>
      <c r="S15" s="3">
        <f>S8*0.26</f>
        <v>33.400640000000003</v>
      </c>
      <c r="T15" s="3">
        <f t="shared" ref="T15:V15" si="34">T8*0.26</f>
        <v>34.981180000000002</v>
      </c>
      <c r="U15" s="3">
        <f t="shared" si="34"/>
        <v>38.421759999999999</v>
      </c>
      <c r="V15" s="3">
        <f t="shared" si="34"/>
        <v>43.8932</v>
      </c>
      <c r="X15" s="3">
        <v>120.9</v>
      </c>
      <c r="Y15" s="3">
        <v>115</v>
      </c>
      <c r="Z15" s="3">
        <f>SUM(K15:N15)</f>
        <v>109.9</v>
      </c>
      <c r="AA15" s="3">
        <f>SUM(O15:R15)</f>
        <v>131.9</v>
      </c>
      <c r="AB15" s="3">
        <f>SUM(S15:V15)</f>
        <v>150.69678000000002</v>
      </c>
      <c r="AC15" s="3">
        <f>AC8*0.25</f>
        <v>164.97672249999997</v>
      </c>
      <c r="AD15" s="3">
        <f>AD8*0.24</f>
        <v>173.12765140799999</v>
      </c>
      <c r="AE15" s="3">
        <f>AE8*0.24</f>
        <v>182.50621245648</v>
      </c>
      <c r="AF15" s="3">
        <f>AF8*0.24</f>
        <v>190.59477974150397</v>
      </c>
      <c r="AG15" s="3">
        <f t="shared" ref="AG15:AL15" si="35">AG8*0.24</f>
        <v>197.07068489985215</v>
      </c>
      <c r="AH15" s="3">
        <f t="shared" si="35"/>
        <v>201.81561182019635</v>
      </c>
      <c r="AI15" s="3">
        <f t="shared" si="35"/>
        <v>205.94827180700028</v>
      </c>
      <c r="AJ15" s="3">
        <f t="shared" si="35"/>
        <v>210.17321976858031</v>
      </c>
      <c r="AK15" s="3">
        <f t="shared" si="35"/>
        <v>214.49326494193591</v>
      </c>
      <c r="AL15" s="3">
        <f t="shared" si="35"/>
        <v>218.91136909655702</v>
      </c>
    </row>
    <row r="16" spans="2:38" x14ac:dyDescent="0.3">
      <c r="B16" t="s">
        <v>35</v>
      </c>
      <c r="I16" s="3">
        <v>0.3</v>
      </c>
      <c r="J16" s="3">
        <v>1</v>
      </c>
      <c r="K16" s="3">
        <v>2.4</v>
      </c>
      <c r="L16" s="3">
        <v>0.1</v>
      </c>
      <c r="M16" s="3">
        <v>0.2</v>
      </c>
      <c r="N16" s="3">
        <v>1.3</v>
      </c>
      <c r="O16" s="3">
        <v>-0.1</v>
      </c>
      <c r="P16" s="3">
        <v>-0.1</v>
      </c>
      <c r="Q16" s="3">
        <v>-0.1</v>
      </c>
      <c r="R16" s="3">
        <v>-0.5</v>
      </c>
      <c r="S16" s="3">
        <v>0</v>
      </c>
      <c r="T16" s="3">
        <v>0</v>
      </c>
      <c r="U16" s="3">
        <v>0</v>
      </c>
      <c r="V16" s="3">
        <v>0</v>
      </c>
      <c r="X16" s="3">
        <v>0.6</v>
      </c>
      <c r="Y16" s="3">
        <v>1.4</v>
      </c>
      <c r="Z16" s="3">
        <f>SUM(K16:N16)</f>
        <v>4</v>
      </c>
      <c r="AA16" s="3">
        <f>SUM(O16:R16)</f>
        <v>-0.8</v>
      </c>
      <c r="AB16" s="3">
        <f>SUM(S16:V16)</f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</row>
    <row r="17" spans="2:144" x14ac:dyDescent="0.3">
      <c r="B17" t="s">
        <v>33</v>
      </c>
      <c r="I17" s="3">
        <v>3.4</v>
      </c>
      <c r="J17" s="3">
        <v>3.5</v>
      </c>
      <c r="K17" s="3">
        <v>3.4</v>
      </c>
      <c r="L17" s="3">
        <v>3.4</v>
      </c>
      <c r="M17" s="3">
        <v>3.2</v>
      </c>
      <c r="N17" s="3">
        <v>3.2</v>
      </c>
      <c r="O17" s="3">
        <v>3.1</v>
      </c>
      <c r="P17" s="3">
        <v>4</v>
      </c>
      <c r="Q17" s="3">
        <v>4.0999999999999996</v>
      </c>
      <c r="R17" s="3">
        <v>4.4000000000000004</v>
      </c>
      <c r="S17" s="3">
        <v>4</v>
      </c>
      <c r="T17" s="3">
        <v>4</v>
      </c>
      <c r="U17" s="3">
        <v>5</v>
      </c>
      <c r="V17" s="3">
        <v>5</v>
      </c>
      <c r="X17" s="3">
        <v>19.600000000000001</v>
      </c>
      <c r="Y17" s="3">
        <v>13.9</v>
      </c>
      <c r="Z17" s="3">
        <f>SUM(K17:N17)</f>
        <v>13.2</v>
      </c>
      <c r="AA17" s="3">
        <f>SUM(O17:R17)</f>
        <v>15.6</v>
      </c>
      <c r="AB17" s="3">
        <f>SUM(S17:V17)</f>
        <v>18</v>
      </c>
      <c r="AC17" s="3">
        <f t="shared" ref="AC17:AL17" si="36">AB17*1.01</f>
        <v>18.18</v>
      </c>
      <c r="AD17" s="3">
        <f t="shared" si="36"/>
        <v>18.361799999999999</v>
      </c>
      <c r="AE17" s="3">
        <f t="shared" si="36"/>
        <v>18.545417999999998</v>
      </c>
      <c r="AF17" s="3">
        <f t="shared" si="36"/>
        <v>18.730872179999999</v>
      </c>
      <c r="AG17" s="3">
        <f t="shared" si="36"/>
        <v>18.9181809018</v>
      </c>
      <c r="AH17" s="3">
        <f t="shared" si="36"/>
        <v>19.107362710817998</v>
      </c>
      <c r="AI17" s="3">
        <f t="shared" si="36"/>
        <v>19.29843633792618</v>
      </c>
      <c r="AJ17" s="3">
        <f t="shared" si="36"/>
        <v>19.491420701305444</v>
      </c>
      <c r="AK17" s="3">
        <f t="shared" si="36"/>
        <v>19.6863349083185</v>
      </c>
      <c r="AL17" s="3">
        <f t="shared" si="36"/>
        <v>19.883198257401684</v>
      </c>
    </row>
    <row r="18" spans="2:144" x14ac:dyDescent="0.3">
      <c r="B18" t="s">
        <v>34</v>
      </c>
      <c r="I18" s="3">
        <v>5.8</v>
      </c>
      <c r="J18" s="3">
        <f>3.2+0.3+7</f>
        <v>10.5</v>
      </c>
      <c r="K18" s="3">
        <v>6.1</v>
      </c>
      <c r="L18" s="3">
        <v>7.3</v>
      </c>
      <c r="M18" s="3">
        <f>0.6+0.7+7.6</f>
        <v>8.8999999999999986</v>
      </c>
      <c r="N18" s="3">
        <f>0.1+9.2</f>
        <v>9.2999999999999989</v>
      </c>
      <c r="O18" s="3">
        <v>7.2</v>
      </c>
      <c r="P18" s="3">
        <v>8.6999999999999993</v>
      </c>
      <c r="Q18" s="3">
        <v>7.8</v>
      </c>
      <c r="R18" s="3">
        <f>0.1+8</f>
        <v>8.1</v>
      </c>
      <c r="S18" s="3">
        <v>8</v>
      </c>
      <c r="T18" s="3">
        <v>8</v>
      </c>
      <c r="U18" s="3">
        <v>9</v>
      </c>
      <c r="V18" s="3">
        <v>10</v>
      </c>
      <c r="X18" s="3">
        <f>5.6+22.8</f>
        <v>28.4</v>
      </c>
      <c r="Y18" s="3">
        <f>3.2+1.5+26.7</f>
        <v>31.4</v>
      </c>
      <c r="Z18" s="3">
        <f>SUM(K18:N18)</f>
        <v>31.599999999999994</v>
      </c>
      <c r="AA18" s="3">
        <f>SUM(O18:R18)</f>
        <v>31.799999999999997</v>
      </c>
      <c r="AB18" s="3">
        <f>SUM(S18:V18)</f>
        <v>35</v>
      </c>
      <c r="AC18" s="3">
        <f t="shared" ref="AC18:AL18" si="37">AB18*1.01</f>
        <v>35.35</v>
      </c>
      <c r="AD18" s="3">
        <f t="shared" si="37"/>
        <v>35.703499999999998</v>
      </c>
      <c r="AE18" s="3">
        <f t="shared" si="37"/>
        <v>36.060535000000002</v>
      </c>
      <c r="AF18" s="3">
        <f t="shared" si="37"/>
        <v>36.421140350000002</v>
      </c>
      <c r="AG18" s="3">
        <f t="shared" si="37"/>
        <v>36.785351753500002</v>
      </c>
      <c r="AH18" s="3">
        <f t="shared" si="37"/>
        <v>37.153205271035006</v>
      </c>
      <c r="AI18" s="3">
        <f t="shared" si="37"/>
        <v>37.524737323745356</v>
      </c>
      <c r="AJ18" s="3">
        <f t="shared" si="37"/>
        <v>37.899984696982813</v>
      </c>
      <c r="AK18" s="3">
        <f t="shared" si="37"/>
        <v>38.278984543952639</v>
      </c>
      <c r="AL18" s="3">
        <f t="shared" si="37"/>
        <v>38.661774389392164</v>
      </c>
    </row>
    <row r="19" spans="2:144" x14ac:dyDescent="0.3">
      <c r="B19" t="s">
        <v>36</v>
      </c>
      <c r="I19" s="3">
        <f t="shared" ref="I19:P19" si="38">SUM(I14:I18)</f>
        <v>53.499999999999993</v>
      </c>
      <c r="J19" s="3">
        <f t="shared" si="38"/>
        <v>65.7</v>
      </c>
      <c r="K19" s="3">
        <f t="shared" si="38"/>
        <v>56.4</v>
      </c>
      <c r="L19" s="3">
        <f t="shared" si="38"/>
        <v>59.199999999999996</v>
      </c>
      <c r="M19" s="3">
        <f t="shared" si="38"/>
        <v>61.4</v>
      </c>
      <c r="N19" s="3">
        <f t="shared" si="38"/>
        <v>64.5</v>
      </c>
      <c r="O19" s="3">
        <f t="shared" si="38"/>
        <v>58.6</v>
      </c>
      <c r="P19" s="3">
        <f t="shared" si="38"/>
        <v>61.399999999999991</v>
      </c>
      <c r="Q19" s="3">
        <f t="shared" ref="Q19:R19" si="39">SUM(Q14:Q18)</f>
        <v>67.5</v>
      </c>
      <c r="R19" s="3">
        <f t="shared" si="39"/>
        <v>70.7</v>
      </c>
      <c r="S19" s="3">
        <f t="shared" ref="S19:V19" si="40">SUM(S14:S18)</f>
        <v>62.032640000000001</v>
      </c>
      <c r="T19" s="3">
        <f t="shared" si="40"/>
        <v>64.801180000000002</v>
      </c>
      <c r="U19" s="3">
        <f t="shared" si="40"/>
        <v>70.981759999999994</v>
      </c>
      <c r="V19" s="3">
        <f t="shared" si="40"/>
        <v>77.583200000000005</v>
      </c>
      <c r="X19" s="3">
        <f>SUM(X14:X18)</f>
        <v>244</v>
      </c>
      <c r="Y19" s="3">
        <f>SUM(Y14:Y18)</f>
        <v>236.3</v>
      </c>
      <c r="Z19" s="3">
        <f>SUM(Z14:Z18)</f>
        <v>241.5</v>
      </c>
      <c r="AA19" s="3">
        <f>SUM(AA14:AA18)</f>
        <v>258.2</v>
      </c>
      <c r="AB19" s="3">
        <f>SUM(AB14:AB18)</f>
        <v>275.39877999999999</v>
      </c>
      <c r="AC19" s="3">
        <f t="shared" ref="AC19:AL19" si="41">SUM(AC14:AC18)</f>
        <v>295.94488250000001</v>
      </c>
      <c r="AD19" s="3">
        <f t="shared" si="41"/>
        <v>308.503019408</v>
      </c>
      <c r="AE19" s="3">
        <f t="shared" si="41"/>
        <v>321.67463617648002</v>
      </c>
      <c r="AF19" s="3">
        <f t="shared" si="41"/>
        <v>332.84613711310396</v>
      </c>
      <c r="AG19" s="3">
        <f t="shared" si="41"/>
        <v>342.48654274200015</v>
      </c>
      <c r="AH19" s="3">
        <f t="shared" si="41"/>
        <v>348.68562824076582</v>
      </c>
      <c r="AI19" s="3">
        <f t="shared" si="41"/>
        <v>354.28698839177548</v>
      </c>
      <c r="AJ19" s="3">
        <f t="shared" si="41"/>
        <v>359.99532351920328</v>
      </c>
      <c r="AK19" s="3">
        <f t="shared" si="41"/>
        <v>365.81358973006508</v>
      </c>
      <c r="AL19" s="3">
        <f t="shared" si="41"/>
        <v>371.74489713256747</v>
      </c>
    </row>
    <row r="20" spans="2:144" s="1" customFormat="1" x14ac:dyDescent="0.3">
      <c r="B20" s="1" t="s">
        <v>37</v>
      </c>
      <c r="I20" s="8">
        <f t="shared" ref="I20:P20" si="42">I13-I19</f>
        <v>16.199999999999996</v>
      </c>
      <c r="J20" s="8">
        <f t="shared" si="42"/>
        <v>11.699999999999989</v>
      </c>
      <c r="K20" s="8">
        <f t="shared" si="42"/>
        <v>13.79999999999999</v>
      </c>
      <c r="L20" s="8">
        <f t="shared" si="42"/>
        <v>12.499999999999993</v>
      </c>
      <c r="M20" s="8">
        <f t="shared" si="42"/>
        <v>15.999999999999993</v>
      </c>
      <c r="N20" s="8">
        <f t="shared" si="42"/>
        <v>20.400000000000006</v>
      </c>
      <c r="O20" s="8">
        <f t="shared" si="42"/>
        <v>19.399999999999999</v>
      </c>
      <c r="P20" s="8">
        <f t="shared" si="42"/>
        <v>21.899999999999991</v>
      </c>
      <c r="Q20" s="8">
        <f t="shared" ref="Q20:R20" si="43">Q13-Q19</f>
        <v>23.399999999999991</v>
      </c>
      <c r="R20" s="8">
        <f t="shared" si="43"/>
        <v>27.499999999999972</v>
      </c>
      <c r="S20" s="8">
        <f t="shared" ref="S20:V20" si="44">S13-S19</f>
        <v>27.892160000000004</v>
      </c>
      <c r="T20" s="8">
        <f t="shared" si="44"/>
        <v>28.03349</v>
      </c>
      <c r="U20" s="8">
        <f t="shared" si="44"/>
        <v>29.505919999999989</v>
      </c>
      <c r="V20" s="8">
        <f t="shared" si="44"/>
        <v>35.526199999999989</v>
      </c>
      <c r="X20" s="8">
        <f>X13-X19</f>
        <v>-6.1999999999999886</v>
      </c>
      <c r="Y20" s="8">
        <f>Y13-Y19</f>
        <v>40.599999999999966</v>
      </c>
      <c r="Z20" s="8">
        <f>Z13-Z19</f>
        <v>62.699999999999932</v>
      </c>
      <c r="AA20" s="8">
        <f>AA13-AA19</f>
        <v>92.199999999999989</v>
      </c>
      <c r="AB20" s="8">
        <f>AB13-AB19</f>
        <v>120.9577700000001</v>
      </c>
      <c r="AC20" s="8">
        <f t="shared" ref="AC20:AL20" si="45">AC13-AC19</f>
        <v>159.39087159999985</v>
      </c>
      <c r="AD20" s="8">
        <f t="shared" si="45"/>
        <v>196.45263053199994</v>
      </c>
      <c r="AE20" s="8">
        <f t="shared" si="45"/>
        <v>210.63515015491998</v>
      </c>
      <c r="AF20" s="8">
        <f t="shared" si="45"/>
        <v>223.0553037996159</v>
      </c>
      <c r="AG20" s="8">
        <f t="shared" si="45"/>
        <v>232.3029548825686</v>
      </c>
      <c r="AH20" s="8">
        <f t="shared" si="45"/>
        <v>239.94323956814014</v>
      </c>
      <c r="AI20" s="8">
        <f t="shared" si="45"/>
        <v>246.39547104530868</v>
      </c>
      <c r="AJ20" s="8">
        <f t="shared" si="45"/>
        <v>253.00990080582261</v>
      </c>
      <c r="AK20" s="8">
        <f t="shared" si="45"/>
        <v>259.79176635058133</v>
      </c>
      <c r="AL20" s="8">
        <f t="shared" si="45"/>
        <v>266.74659606572385</v>
      </c>
    </row>
    <row r="21" spans="2:144" x14ac:dyDescent="0.3">
      <c r="B21" t="s">
        <v>38</v>
      </c>
      <c r="I21" s="3">
        <v>-2.5</v>
      </c>
      <c r="J21" s="3">
        <f>-1.5-43.6</f>
        <v>-45.1</v>
      </c>
      <c r="K21" s="3">
        <v>-5.4</v>
      </c>
      <c r="L21" s="3">
        <v>-1.4</v>
      </c>
      <c r="M21" s="3">
        <v>-1.2</v>
      </c>
      <c r="N21" s="3">
        <f>-89.8-1</f>
        <v>-90.8</v>
      </c>
      <c r="O21" s="3">
        <v>-0.9</v>
      </c>
      <c r="P21" s="3">
        <v>-0.9</v>
      </c>
      <c r="Q21" s="3">
        <v>-0.8</v>
      </c>
      <c r="R21" s="3">
        <f>-5-1</f>
        <v>-6</v>
      </c>
      <c r="S21" s="3">
        <v>-2</v>
      </c>
      <c r="T21" s="3">
        <v>-2</v>
      </c>
      <c r="U21" s="3">
        <v>-2</v>
      </c>
      <c r="V21" s="3">
        <v>-2</v>
      </c>
      <c r="X21" s="3">
        <f>29.4+115.4-116.6-0.1</f>
        <v>28.100000000000016</v>
      </c>
      <c r="Y21" s="3">
        <f>-1.5-21.5</f>
        <v>-23</v>
      </c>
      <c r="Z21" s="3">
        <f>SUM(K21:N21)</f>
        <v>-98.8</v>
      </c>
      <c r="AA21" s="3">
        <f>SUM(O21:R21)</f>
        <v>-8.6</v>
      </c>
      <c r="AB21" s="3">
        <f>SUM(S21:V21)</f>
        <v>-8</v>
      </c>
      <c r="AC21" s="3">
        <f>AB21*1.01</f>
        <v>-8.08</v>
      </c>
      <c r="AD21" s="3">
        <f t="shared" ref="AD21:AL21" si="46">AC21*1.01</f>
        <v>-8.1608000000000001</v>
      </c>
      <c r="AE21" s="3">
        <f t="shared" si="46"/>
        <v>-8.2424079999999993</v>
      </c>
      <c r="AF21" s="3">
        <f t="shared" si="46"/>
        <v>-8.3248320800000002</v>
      </c>
      <c r="AG21" s="3">
        <f t="shared" si="46"/>
        <v>-8.4080804007999994</v>
      </c>
      <c r="AH21" s="3">
        <f t="shared" si="46"/>
        <v>-8.4921612048079993</v>
      </c>
      <c r="AI21" s="3">
        <f t="shared" si="46"/>
        <v>-8.5770828168560787</v>
      </c>
      <c r="AJ21" s="3">
        <f t="shared" si="46"/>
        <v>-8.6628536450246401</v>
      </c>
      <c r="AK21" s="3">
        <f t="shared" si="46"/>
        <v>-8.7494821814748871</v>
      </c>
      <c r="AL21" s="3">
        <f t="shared" si="46"/>
        <v>-8.8369770032896362</v>
      </c>
    </row>
    <row r="22" spans="2:144" x14ac:dyDescent="0.3">
      <c r="B22" t="s">
        <v>39</v>
      </c>
      <c r="I22" s="3">
        <v>4.7</v>
      </c>
      <c r="J22" s="3">
        <v>35.6</v>
      </c>
      <c r="K22" s="3">
        <v>0.4</v>
      </c>
      <c r="L22" s="3">
        <v>0.1</v>
      </c>
      <c r="M22" s="3">
        <v>0.1</v>
      </c>
      <c r="N22" s="3">
        <v>0.1</v>
      </c>
      <c r="O22" s="3">
        <v>0.1</v>
      </c>
      <c r="P22" s="3">
        <v>0.2</v>
      </c>
      <c r="Q22" s="3">
        <v>0.1</v>
      </c>
      <c r="R22" s="3">
        <v>0.2</v>
      </c>
      <c r="S22" s="3">
        <v>0</v>
      </c>
      <c r="T22" s="3">
        <v>0</v>
      </c>
      <c r="U22" s="3">
        <v>0</v>
      </c>
      <c r="V22" s="3">
        <v>0</v>
      </c>
      <c r="X22" s="3">
        <v>6.9</v>
      </c>
      <c r="Y22" s="3">
        <v>38.5</v>
      </c>
      <c r="Z22" s="3">
        <f>SUM(K22:N22)</f>
        <v>0.7</v>
      </c>
      <c r="AA22" s="3">
        <f>SUM(O22:R22)</f>
        <v>0.60000000000000009</v>
      </c>
      <c r="AB22" s="3">
        <f>SUM(S22:V22)</f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</row>
    <row r="23" spans="2:144" x14ac:dyDescent="0.3">
      <c r="B23" t="s">
        <v>40</v>
      </c>
      <c r="I23" s="3">
        <v>-0.6</v>
      </c>
      <c r="J23" s="3">
        <v>1.1000000000000001</v>
      </c>
      <c r="K23" s="3">
        <v>0.2</v>
      </c>
      <c r="L23" s="3">
        <v>-0.9</v>
      </c>
      <c r="M23" s="3">
        <v>0.1</v>
      </c>
      <c r="N23" s="3">
        <v>1.6</v>
      </c>
      <c r="O23" s="3">
        <v>0.8</v>
      </c>
      <c r="P23" s="3">
        <v>0.6</v>
      </c>
      <c r="Q23" s="3">
        <v>1.1000000000000001</v>
      </c>
      <c r="R23" s="3">
        <v>-0.6</v>
      </c>
      <c r="S23" s="3">
        <v>1</v>
      </c>
      <c r="T23" s="3">
        <v>1</v>
      </c>
      <c r="U23" s="3">
        <v>1</v>
      </c>
      <c r="V23" s="3">
        <v>1</v>
      </c>
      <c r="X23" s="3">
        <v>1.8</v>
      </c>
      <c r="Y23" s="3">
        <v>1.2</v>
      </c>
      <c r="Z23" s="3">
        <f>SUM(K23:N23)</f>
        <v>1</v>
      </c>
      <c r="AA23" s="3">
        <f>SUM(O23:R23)</f>
        <v>1.9</v>
      </c>
      <c r="AB23" s="3">
        <f>SUM(S23:V23)</f>
        <v>4</v>
      </c>
      <c r="AC23" s="3">
        <f>AB23*1.01</f>
        <v>4.04</v>
      </c>
      <c r="AD23" s="3">
        <f t="shared" ref="AD23:AL23" si="47">AC23*1.01</f>
        <v>4.0804</v>
      </c>
      <c r="AE23" s="3">
        <f t="shared" si="47"/>
        <v>4.1212039999999996</v>
      </c>
      <c r="AF23" s="3">
        <f t="shared" si="47"/>
        <v>4.1624160400000001</v>
      </c>
      <c r="AG23" s="3">
        <f t="shared" si="47"/>
        <v>4.2040402003999997</v>
      </c>
      <c r="AH23" s="3">
        <f t="shared" si="47"/>
        <v>4.2460806024039996</v>
      </c>
      <c r="AI23" s="3">
        <f t="shared" si="47"/>
        <v>4.2885414084280393</v>
      </c>
      <c r="AJ23" s="3">
        <f t="shared" si="47"/>
        <v>4.33142682251232</v>
      </c>
      <c r="AK23" s="3">
        <f t="shared" si="47"/>
        <v>4.3747410907374435</v>
      </c>
      <c r="AL23" s="3">
        <f t="shared" si="47"/>
        <v>4.4184885016448181</v>
      </c>
    </row>
    <row r="24" spans="2:144" x14ac:dyDescent="0.3">
      <c r="B24" t="s">
        <v>41</v>
      </c>
      <c r="I24" s="3">
        <f t="shared" ref="I24:P24" si="48">SUM(I21:I23)</f>
        <v>1.6</v>
      </c>
      <c r="J24" s="3">
        <f t="shared" si="48"/>
        <v>-8.4</v>
      </c>
      <c r="K24" s="3">
        <f t="shared" si="48"/>
        <v>-4.8</v>
      </c>
      <c r="L24" s="3">
        <f t="shared" si="48"/>
        <v>-2.1999999999999997</v>
      </c>
      <c r="M24" s="3">
        <f t="shared" si="48"/>
        <v>-0.99999999999999989</v>
      </c>
      <c r="N24" s="3">
        <f t="shared" si="48"/>
        <v>-89.100000000000009</v>
      </c>
      <c r="O24" s="3">
        <f t="shared" si="48"/>
        <v>0</v>
      </c>
      <c r="P24" s="3">
        <f t="shared" si="48"/>
        <v>-9.9999999999999978E-2</v>
      </c>
      <c r="Q24" s="3">
        <f t="shared" ref="Q24:R24" si="49">SUM(Q21:Q23)</f>
        <v>0.4</v>
      </c>
      <c r="R24" s="3">
        <f t="shared" si="49"/>
        <v>-6.3999999999999995</v>
      </c>
      <c r="S24" s="3">
        <f t="shared" ref="S24:V24" si="50">SUM(S21:S23)</f>
        <v>-1</v>
      </c>
      <c r="T24" s="3">
        <f t="shared" si="50"/>
        <v>-1</v>
      </c>
      <c r="U24" s="3">
        <f t="shared" si="50"/>
        <v>-1</v>
      </c>
      <c r="V24" s="3">
        <f t="shared" si="50"/>
        <v>-1</v>
      </c>
      <c r="X24" s="3">
        <f>SUM(X21:X23)</f>
        <v>36.800000000000011</v>
      </c>
      <c r="Y24" s="3">
        <f>SUM(Y21:Y23)</f>
        <v>16.7</v>
      </c>
      <c r="Z24" s="3">
        <f>SUM(Z21:Z23)</f>
        <v>-97.1</v>
      </c>
      <c r="AA24" s="3">
        <f>SUM(AA21:AA23)</f>
        <v>-6.1</v>
      </c>
      <c r="AB24" s="3">
        <f>SUM(AB21:AB23)</f>
        <v>-4</v>
      </c>
      <c r="AC24" s="3">
        <f t="shared" ref="AC24:AL24" si="51">SUM(AC21:AC23)</f>
        <v>-4.04</v>
      </c>
      <c r="AD24" s="3">
        <f t="shared" si="51"/>
        <v>-4.0804</v>
      </c>
      <c r="AE24" s="3">
        <f t="shared" si="51"/>
        <v>-4.1212039999999996</v>
      </c>
      <c r="AF24" s="3">
        <f t="shared" si="51"/>
        <v>-4.1624160400000001</v>
      </c>
      <c r="AG24" s="3">
        <f t="shared" si="51"/>
        <v>-4.2040402003999997</v>
      </c>
      <c r="AH24" s="3">
        <f t="shared" si="51"/>
        <v>-4.2460806024039996</v>
      </c>
      <c r="AI24" s="3">
        <f t="shared" si="51"/>
        <v>-4.2885414084280393</v>
      </c>
      <c r="AJ24" s="3">
        <f t="shared" si="51"/>
        <v>-4.33142682251232</v>
      </c>
      <c r="AK24" s="3">
        <f t="shared" si="51"/>
        <v>-4.3747410907374435</v>
      </c>
      <c r="AL24" s="3">
        <f t="shared" si="51"/>
        <v>-4.4184885016448181</v>
      </c>
    </row>
    <row r="25" spans="2:144" s="1" customFormat="1" x14ac:dyDescent="0.3">
      <c r="B25" s="1" t="s">
        <v>45</v>
      </c>
      <c r="I25" s="8">
        <f t="shared" ref="I25:P25" si="52">I20-I24</f>
        <v>14.599999999999996</v>
      </c>
      <c r="J25" s="8">
        <f t="shared" si="52"/>
        <v>20.099999999999987</v>
      </c>
      <c r="K25" s="8">
        <f t="shared" si="52"/>
        <v>18.599999999999991</v>
      </c>
      <c r="L25" s="8">
        <f t="shared" si="52"/>
        <v>14.699999999999992</v>
      </c>
      <c r="M25" s="8">
        <f t="shared" si="52"/>
        <v>16.999999999999993</v>
      </c>
      <c r="N25" s="8">
        <f t="shared" si="52"/>
        <v>109.50000000000001</v>
      </c>
      <c r="O25" s="8">
        <f t="shared" si="52"/>
        <v>19.399999999999999</v>
      </c>
      <c r="P25" s="8">
        <f t="shared" si="52"/>
        <v>21.999999999999993</v>
      </c>
      <c r="Q25" s="8">
        <f t="shared" ref="Q25:R25" si="53">Q20-Q24</f>
        <v>22.999999999999993</v>
      </c>
      <c r="R25" s="8">
        <f t="shared" si="53"/>
        <v>33.89999999999997</v>
      </c>
      <c r="S25" s="8">
        <f t="shared" ref="S25:V25" si="54">S20-S24</f>
        <v>28.892160000000004</v>
      </c>
      <c r="T25" s="8">
        <f t="shared" si="54"/>
        <v>29.03349</v>
      </c>
      <c r="U25" s="8">
        <f t="shared" si="54"/>
        <v>30.505919999999989</v>
      </c>
      <c r="V25" s="8">
        <f t="shared" si="54"/>
        <v>36.526199999999989</v>
      </c>
      <c r="X25" s="8">
        <f>X20-X24</f>
        <v>-43</v>
      </c>
      <c r="Y25" s="8">
        <f>Y20-Y24</f>
        <v>23.899999999999967</v>
      </c>
      <c r="Z25" s="8">
        <f>Z20-Z24</f>
        <v>159.79999999999993</v>
      </c>
      <c r="AA25" s="8">
        <f>AA20-AA24</f>
        <v>98.299999999999983</v>
      </c>
      <c r="AB25" s="8">
        <f>AB20-AB24</f>
        <v>124.9577700000001</v>
      </c>
      <c r="AC25" s="8">
        <f t="shared" ref="AC25:AL25" si="55">AC20-AC24</f>
        <v>163.43087159999985</v>
      </c>
      <c r="AD25" s="8">
        <f t="shared" si="55"/>
        <v>200.53303053199994</v>
      </c>
      <c r="AE25" s="8">
        <f t="shared" si="55"/>
        <v>214.75635415491999</v>
      </c>
      <c r="AF25" s="8">
        <f t="shared" si="55"/>
        <v>227.21771983961591</v>
      </c>
      <c r="AG25" s="8">
        <f t="shared" si="55"/>
        <v>236.50699508296859</v>
      </c>
      <c r="AH25" s="8">
        <f t="shared" si="55"/>
        <v>244.18932017054414</v>
      </c>
      <c r="AI25" s="8">
        <f t="shared" si="55"/>
        <v>250.68401245373673</v>
      </c>
      <c r="AJ25" s="8">
        <f t="shared" si="55"/>
        <v>257.34132762833491</v>
      </c>
      <c r="AK25" s="8">
        <f t="shared" si="55"/>
        <v>264.16650744131874</v>
      </c>
      <c r="AL25" s="8">
        <f t="shared" si="55"/>
        <v>271.16508456736869</v>
      </c>
    </row>
    <row r="26" spans="2:144" x14ac:dyDescent="0.3">
      <c r="B26" t="s">
        <v>42</v>
      </c>
      <c r="I26" s="3">
        <v>5.2</v>
      </c>
      <c r="J26" s="3">
        <v>-0.7</v>
      </c>
      <c r="K26" s="3">
        <v>3.3</v>
      </c>
      <c r="L26" s="3">
        <v>1.1000000000000001</v>
      </c>
      <c r="M26" s="3">
        <v>0.2</v>
      </c>
      <c r="N26" s="3">
        <v>2.1</v>
      </c>
      <c r="O26" s="3">
        <v>4.5999999999999996</v>
      </c>
      <c r="P26" s="3">
        <v>2.8</v>
      </c>
      <c r="Q26" s="3">
        <v>4.8</v>
      </c>
      <c r="R26" s="3">
        <v>5.3</v>
      </c>
      <c r="S26" s="3">
        <f>S25*0.15</f>
        <v>4.3338240000000008</v>
      </c>
      <c r="T26" s="3">
        <f t="shared" ref="T26:V26" si="56">T25*0.15</f>
        <v>4.3550234999999997</v>
      </c>
      <c r="U26" s="3">
        <f t="shared" si="56"/>
        <v>4.5758879999999982</v>
      </c>
      <c r="V26" s="3">
        <f t="shared" si="56"/>
        <v>5.4789299999999983</v>
      </c>
      <c r="X26" s="3">
        <v>0</v>
      </c>
      <c r="Y26" s="3">
        <v>8.8000000000000007</v>
      </c>
      <c r="Z26" s="3">
        <f>SUM(K26:N26)</f>
        <v>6.7000000000000011</v>
      </c>
      <c r="AA26" s="3">
        <f>SUM(O26:R26)</f>
        <v>17.5</v>
      </c>
      <c r="AB26" s="3">
        <f>SUM(S26:V26)</f>
        <v>18.743665499999999</v>
      </c>
      <c r="AC26" s="3">
        <f t="shared" ref="AC26:AL26" si="57">AC25*0.15</f>
        <v>24.514630739999976</v>
      </c>
      <c r="AD26" s="3">
        <f t="shared" si="57"/>
        <v>30.079954579799988</v>
      </c>
      <c r="AE26" s="3">
        <f t="shared" si="57"/>
        <v>32.213453123237997</v>
      </c>
      <c r="AF26" s="3">
        <f t="shared" si="57"/>
        <v>34.082657975942382</v>
      </c>
      <c r="AG26" s="3">
        <f t="shared" si="57"/>
        <v>35.476049262445287</v>
      </c>
      <c r="AH26" s="3">
        <f t="shared" si="57"/>
        <v>36.628398025581618</v>
      </c>
      <c r="AI26" s="3">
        <f t="shared" si="57"/>
        <v>37.602601868060511</v>
      </c>
      <c r="AJ26" s="3">
        <f t="shared" si="57"/>
        <v>38.601199144250238</v>
      </c>
      <c r="AK26" s="3">
        <f t="shared" si="57"/>
        <v>39.624976116197807</v>
      </c>
      <c r="AL26" s="3">
        <f t="shared" si="57"/>
        <v>40.6747626851053</v>
      </c>
    </row>
    <row r="27" spans="2:144" s="1" customFormat="1" x14ac:dyDescent="0.3">
      <c r="B27" s="1" t="s">
        <v>43</v>
      </c>
      <c r="I27" s="8">
        <f t="shared" ref="I27:P27" si="58">I25-I26</f>
        <v>9.399999999999995</v>
      </c>
      <c r="J27" s="8">
        <f t="shared" si="58"/>
        <v>20.799999999999986</v>
      </c>
      <c r="K27" s="8">
        <f t="shared" si="58"/>
        <v>15.29999999999999</v>
      </c>
      <c r="L27" s="8">
        <f t="shared" si="58"/>
        <v>13.599999999999993</v>
      </c>
      <c r="M27" s="8">
        <f t="shared" si="58"/>
        <v>16.799999999999994</v>
      </c>
      <c r="N27" s="8">
        <f t="shared" si="58"/>
        <v>107.40000000000002</v>
      </c>
      <c r="O27" s="8">
        <f t="shared" si="58"/>
        <v>14.799999999999999</v>
      </c>
      <c r="P27" s="8">
        <f t="shared" si="58"/>
        <v>19.199999999999992</v>
      </c>
      <c r="Q27" s="8">
        <f t="shared" ref="Q27:R27" si="59">Q25-Q26</f>
        <v>18.199999999999992</v>
      </c>
      <c r="R27" s="8">
        <f t="shared" si="59"/>
        <v>28.599999999999969</v>
      </c>
      <c r="S27" s="8">
        <f t="shared" ref="S27:V27" si="60">S25-S26</f>
        <v>24.558336000000004</v>
      </c>
      <c r="T27" s="8">
        <f t="shared" si="60"/>
        <v>24.678466499999999</v>
      </c>
      <c r="U27" s="8">
        <f t="shared" si="60"/>
        <v>25.93003199999999</v>
      </c>
      <c r="V27" s="8">
        <f t="shared" si="60"/>
        <v>31.04726999999999</v>
      </c>
      <c r="X27" s="8">
        <f>X25-X26</f>
        <v>-43</v>
      </c>
      <c r="Y27" s="8">
        <f>Y25-Y26</f>
        <v>15.099999999999966</v>
      </c>
      <c r="Z27" s="8">
        <f>Z25-Z26</f>
        <v>153.09999999999994</v>
      </c>
      <c r="AA27" s="8">
        <f>AA25-AA26</f>
        <v>80.799999999999983</v>
      </c>
      <c r="AB27" s="8">
        <f>AB25-AB26</f>
        <v>106.2141045000001</v>
      </c>
      <c r="AC27" s="8">
        <f t="shared" ref="AC27:AL27" si="61">AC25-AC26</f>
        <v>138.91624085999987</v>
      </c>
      <c r="AD27" s="8">
        <f t="shared" si="61"/>
        <v>170.45307595219995</v>
      </c>
      <c r="AE27" s="8">
        <f t="shared" si="61"/>
        <v>182.54290103168199</v>
      </c>
      <c r="AF27" s="8">
        <f t="shared" si="61"/>
        <v>193.13506186367351</v>
      </c>
      <c r="AG27" s="8">
        <f t="shared" si="61"/>
        <v>201.0309458205233</v>
      </c>
      <c r="AH27" s="8">
        <f t="shared" si="61"/>
        <v>207.56092214496252</v>
      </c>
      <c r="AI27" s="8">
        <f t="shared" si="61"/>
        <v>213.08141058567622</v>
      </c>
      <c r="AJ27" s="8">
        <f t="shared" si="61"/>
        <v>218.74012848408466</v>
      </c>
      <c r="AK27" s="8">
        <f t="shared" si="61"/>
        <v>224.54153132512093</v>
      </c>
      <c r="AL27" s="8">
        <f t="shared" si="61"/>
        <v>230.4903218822634</v>
      </c>
      <c r="AM27" s="1">
        <f>AL27*(1+$AO$38)</f>
        <v>228.18541866344077</v>
      </c>
      <c r="AN27" s="1">
        <f t="shared" ref="AN27:CY27" si="62">AM27*(1+$AO$38)</f>
        <v>225.90356447680637</v>
      </c>
      <c r="AO27" s="1">
        <f t="shared" si="62"/>
        <v>223.6445288320383</v>
      </c>
      <c r="AP27" s="1">
        <f t="shared" si="62"/>
        <v>221.40808354371791</v>
      </c>
      <c r="AQ27" s="1">
        <f t="shared" si="62"/>
        <v>219.19400270828072</v>
      </c>
      <c r="AR27" s="1">
        <f t="shared" si="62"/>
        <v>217.00206268119791</v>
      </c>
      <c r="AS27" s="1">
        <f t="shared" si="62"/>
        <v>214.83204205438594</v>
      </c>
      <c r="AT27" s="1">
        <f t="shared" si="62"/>
        <v>212.68372163384208</v>
      </c>
      <c r="AU27" s="1">
        <f t="shared" si="62"/>
        <v>210.55688441750365</v>
      </c>
      <c r="AV27" s="1">
        <f t="shared" si="62"/>
        <v>208.45131557332863</v>
      </c>
      <c r="AW27" s="1">
        <f t="shared" si="62"/>
        <v>206.36680241759535</v>
      </c>
      <c r="AX27" s="1">
        <f t="shared" si="62"/>
        <v>204.30313439341938</v>
      </c>
      <c r="AY27" s="1">
        <f t="shared" si="62"/>
        <v>202.2601030494852</v>
      </c>
      <c r="AZ27" s="1">
        <f t="shared" si="62"/>
        <v>200.23750201899034</v>
      </c>
      <c r="BA27" s="1">
        <f t="shared" si="62"/>
        <v>198.23512699880044</v>
      </c>
      <c r="BB27" s="1">
        <f t="shared" si="62"/>
        <v>196.25277572881242</v>
      </c>
      <c r="BC27" s="1">
        <f t="shared" si="62"/>
        <v>194.29024797152431</v>
      </c>
      <c r="BD27" s="1">
        <f t="shared" si="62"/>
        <v>192.34734549180905</v>
      </c>
      <c r="BE27" s="1">
        <f t="shared" si="62"/>
        <v>190.42387203689097</v>
      </c>
      <c r="BF27" s="1">
        <f t="shared" si="62"/>
        <v>188.51963331652206</v>
      </c>
      <c r="BG27" s="1">
        <f t="shared" si="62"/>
        <v>186.63443698335684</v>
      </c>
      <c r="BH27" s="1">
        <f t="shared" si="62"/>
        <v>184.76809261352327</v>
      </c>
      <c r="BI27" s="1">
        <f t="shared" si="62"/>
        <v>182.92041168738803</v>
      </c>
      <c r="BJ27" s="1">
        <f t="shared" si="62"/>
        <v>181.09120757051414</v>
      </c>
      <c r="BK27" s="1">
        <f t="shared" si="62"/>
        <v>179.280295494809</v>
      </c>
      <c r="BL27" s="1">
        <f t="shared" si="62"/>
        <v>177.48749253986091</v>
      </c>
      <c r="BM27" s="1">
        <f t="shared" si="62"/>
        <v>175.71261761446229</v>
      </c>
      <c r="BN27" s="1">
        <f t="shared" si="62"/>
        <v>173.95549143831767</v>
      </c>
      <c r="BO27" s="1">
        <f t="shared" si="62"/>
        <v>172.21593652393449</v>
      </c>
      <c r="BP27" s="1">
        <f t="shared" si="62"/>
        <v>170.49377715869514</v>
      </c>
      <c r="BQ27" s="1">
        <f t="shared" si="62"/>
        <v>168.7888393871082</v>
      </c>
      <c r="BR27" s="1">
        <f t="shared" si="62"/>
        <v>167.10095099323712</v>
      </c>
      <c r="BS27" s="1">
        <f t="shared" si="62"/>
        <v>165.42994148330476</v>
      </c>
      <c r="BT27" s="1">
        <f t="shared" si="62"/>
        <v>163.77564206847171</v>
      </c>
      <c r="BU27" s="1">
        <f t="shared" si="62"/>
        <v>162.13788564778699</v>
      </c>
      <c r="BV27" s="1">
        <f t="shared" si="62"/>
        <v>160.51650679130913</v>
      </c>
      <c r="BW27" s="1">
        <f t="shared" si="62"/>
        <v>158.91134172339602</v>
      </c>
      <c r="BX27" s="1">
        <f t="shared" si="62"/>
        <v>157.32222830616206</v>
      </c>
      <c r="BY27" s="1">
        <f t="shared" si="62"/>
        <v>155.74900602310043</v>
      </c>
      <c r="BZ27" s="1">
        <f t="shared" si="62"/>
        <v>154.19151596286943</v>
      </c>
      <c r="CA27" s="1">
        <f t="shared" si="62"/>
        <v>152.64960080324073</v>
      </c>
      <c r="CB27" s="1">
        <f t="shared" si="62"/>
        <v>151.12310479520832</v>
      </c>
      <c r="CC27" s="1">
        <f t="shared" si="62"/>
        <v>149.61187374725623</v>
      </c>
      <c r="CD27" s="1">
        <f t="shared" si="62"/>
        <v>148.11575500978367</v>
      </c>
      <c r="CE27" s="1">
        <f t="shared" si="62"/>
        <v>146.63459745968584</v>
      </c>
      <c r="CF27" s="1">
        <f t="shared" si="62"/>
        <v>145.16825148508897</v>
      </c>
      <c r="CG27" s="1">
        <f t="shared" si="62"/>
        <v>143.71656897023809</v>
      </c>
      <c r="CH27" s="1">
        <f t="shared" si="62"/>
        <v>142.27940328053572</v>
      </c>
      <c r="CI27" s="1">
        <f t="shared" si="62"/>
        <v>140.85660924773035</v>
      </c>
      <c r="CJ27" s="1">
        <f t="shared" si="62"/>
        <v>139.44804315525303</v>
      </c>
      <c r="CK27" s="1">
        <f t="shared" si="62"/>
        <v>138.05356272370051</v>
      </c>
      <c r="CL27" s="1">
        <f t="shared" si="62"/>
        <v>136.6730270964635</v>
      </c>
      <c r="CM27" s="1">
        <f t="shared" si="62"/>
        <v>135.30629682549886</v>
      </c>
      <c r="CN27" s="1">
        <f t="shared" si="62"/>
        <v>133.95323385724387</v>
      </c>
      <c r="CO27" s="1">
        <f t="shared" si="62"/>
        <v>132.61370151867143</v>
      </c>
      <c r="CP27" s="1">
        <f t="shared" si="62"/>
        <v>131.28756450348473</v>
      </c>
      <c r="CQ27" s="1">
        <f t="shared" si="62"/>
        <v>129.97468885844989</v>
      </c>
      <c r="CR27" s="1">
        <f t="shared" si="62"/>
        <v>128.67494196986539</v>
      </c>
      <c r="CS27" s="1">
        <f t="shared" si="62"/>
        <v>127.38819255016674</v>
      </c>
      <c r="CT27" s="1">
        <f t="shared" si="62"/>
        <v>126.11431062466507</v>
      </c>
      <c r="CU27" s="1">
        <f t="shared" si="62"/>
        <v>124.85316751841842</v>
      </c>
      <c r="CV27" s="1">
        <f t="shared" si="62"/>
        <v>123.60463584323423</v>
      </c>
      <c r="CW27" s="1">
        <f t="shared" si="62"/>
        <v>122.36858948480189</v>
      </c>
      <c r="CX27" s="1">
        <f t="shared" si="62"/>
        <v>121.14490358995387</v>
      </c>
      <c r="CY27" s="1">
        <f t="shared" si="62"/>
        <v>119.93345455405434</v>
      </c>
      <c r="CZ27" s="1">
        <f t="shared" ref="CZ27:EN27" si="63">CY27*(1+$AO$38)</f>
        <v>118.7341200085138</v>
      </c>
      <c r="DA27" s="1">
        <f t="shared" si="63"/>
        <v>117.54677880842866</v>
      </c>
      <c r="DB27" s="1">
        <f t="shared" si="63"/>
        <v>116.37131102034436</v>
      </c>
      <c r="DC27" s="1">
        <f t="shared" si="63"/>
        <v>115.20759791014092</v>
      </c>
      <c r="DD27" s="1">
        <f t="shared" si="63"/>
        <v>114.05552193103951</v>
      </c>
      <c r="DE27" s="1">
        <f t="shared" si="63"/>
        <v>112.91496671172911</v>
      </c>
      <c r="DF27" s="1">
        <f t="shared" si="63"/>
        <v>111.78581704461182</v>
      </c>
      <c r="DG27" s="1">
        <f t="shared" si="63"/>
        <v>110.66795887416571</v>
      </c>
      <c r="DH27" s="1">
        <f t="shared" si="63"/>
        <v>109.56127928542405</v>
      </c>
      <c r="DI27" s="1">
        <f t="shared" si="63"/>
        <v>108.46566649256981</v>
      </c>
      <c r="DJ27" s="1">
        <f t="shared" si="63"/>
        <v>107.38100982764411</v>
      </c>
      <c r="DK27" s="1">
        <f t="shared" si="63"/>
        <v>106.30719972936767</v>
      </c>
      <c r="DL27" s="1">
        <f t="shared" si="63"/>
        <v>105.24412773207399</v>
      </c>
      <c r="DM27" s="1">
        <f t="shared" si="63"/>
        <v>104.19168645475325</v>
      </c>
      <c r="DN27" s="1">
        <f t="shared" si="63"/>
        <v>103.14976959020572</v>
      </c>
      <c r="DO27" s="1">
        <f t="shared" si="63"/>
        <v>102.11827189430366</v>
      </c>
      <c r="DP27" s="1">
        <f t="shared" si="63"/>
        <v>101.09708917536062</v>
      </c>
      <c r="DQ27" s="1">
        <f t="shared" si="63"/>
        <v>100.08611828360702</v>
      </c>
      <c r="DR27" s="1">
        <f t="shared" si="63"/>
        <v>99.085257100770946</v>
      </c>
      <c r="DS27" s="1">
        <f t="shared" si="63"/>
        <v>98.094404529763239</v>
      </c>
      <c r="DT27" s="1">
        <f t="shared" si="63"/>
        <v>97.113460484465605</v>
      </c>
      <c r="DU27" s="1">
        <f t="shared" si="63"/>
        <v>96.142325879620955</v>
      </c>
      <c r="DV27" s="1">
        <f t="shared" si="63"/>
        <v>95.180902620824739</v>
      </c>
      <c r="DW27" s="1">
        <f t="shared" si="63"/>
        <v>94.229093594616486</v>
      </c>
      <c r="DX27" s="1">
        <f t="shared" si="63"/>
        <v>93.286802658670325</v>
      </c>
      <c r="DY27" s="1">
        <f t="shared" si="63"/>
        <v>92.353934632083622</v>
      </c>
      <c r="DZ27" s="1">
        <f t="shared" si="63"/>
        <v>91.430395285762785</v>
      </c>
      <c r="EA27" s="1">
        <f t="shared" si="63"/>
        <v>90.516091332905162</v>
      </c>
      <c r="EB27" s="1">
        <f t="shared" si="63"/>
        <v>89.610930419576107</v>
      </c>
      <c r="EC27" s="1">
        <f t="shared" si="63"/>
        <v>88.714821115380346</v>
      </c>
      <c r="ED27" s="1">
        <f t="shared" si="63"/>
        <v>87.827672904226546</v>
      </c>
      <c r="EE27" s="1">
        <f t="shared" si="63"/>
        <v>86.949396175184276</v>
      </c>
      <c r="EF27" s="1">
        <f t="shared" si="63"/>
        <v>86.079902213432433</v>
      </c>
      <c r="EG27" s="1">
        <f t="shared" si="63"/>
        <v>85.219103191298103</v>
      </c>
      <c r="EH27" s="1">
        <f t="shared" si="63"/>
        <v>84.366912159385123</v>
      </c>
      <c r="EI27" s="1">
        <f t="shared" si="63"/>
        <v>83.523243037791275</v>
      </c>
      <c r="EJ27" s="1">
        <f t="shared" si="63"/>
        <v>82.688010607413361</v>
      </c>
      <c r="EK27" s="1">
        <f t="shared" si="63"/>
        <v>81.861130501339233</v>
      </c>
      <c r="EL27" s="1">
        <f t="shared" si="63"/>
        <v>81.042519196325841</v>
      </c>
      <c r="EM27" s="1">
        <f t="shared" si="63"/>
        <v>80.23209400436258</v>
      </c>
      <c r="EN27" s="1">
        <f t="shared" si="63"/>
        <v>79.429773064318951</v>
      </c>
    </row>
    <row r="28" spans="2:144" x14ac:dyDescent="0.3">
      <c r="B28" t="s">
        <v>2</v>
      </c>
      <c r="I28" s="3">
        <v>88.5</v>
      </c>
      <c r="J28" s="3">
        <v>88.5</v>
      </c>
      <c r="K28" s="3">
        <v>88.5</v>
      </c>
      <c r="L28" s="3">
        <v>88.5</v>
      </c>
      <c r="M28" s="3">
        <v>88.5</v>
      </c>
      <c r="N28" s="3">
        <v>88.5</v>
      </c>
      <c r="O28" s="3">
        <v>88.5</v>
      </c>
      <c r="P28" s="3">
        <v>88.5</v>
      </c>
      <c r="Q28" s="3">
        <v>88.5</v>
      </c>
      <c r="R28" s="3">
        <v>88.5</v>
      </c>
      <c r="S28" s="3">
        <v>88.5</v>
      </c>
      <c r="T28" s="3">
        <v>88.5</v>
      </c>
      <c r="U28" s="3">
        <v>88.5</v>
      </c>
      <c r="V28" s="3">
        <v>88.5</v>
      </c>
      <c r="X28" s="3">
        <v>88.5</v>
      </c>
      <c r="Y28" s="3">
        <v>88.5</v>
      </c>
      <c r="Z28" s="3">
        <v>88.5</v>
      </c>
      <c r="AA28" s="3">
        <v>88.5</v>
      </c>
      <c r="AB28" s="3">
        <v>88.5</v>
      </c>
      <c r="AC28" s="3">
        <v>88.5</v>
      </c>
      <c r="AD28" s="3">
        <v>88.5</v>
      </c>
      <c r="AE28" s="3">
        <v>88.5</v>
      </c>
      <c r="AF28" s="3">
        <v>88.5</v>
      </c>
      <c r="AG28" s="3">
        <v>88.5</v>
      </c>
      <c r="AH28" s="3">
        <v>88.5</v>
      </c>
      <c r="AI28" s="3">
        <v>88.5</v>
      </c>
      <c r="AJ28" s="3">
        <v>88.5</v>
      </c>
      <c r="AK28" s="3">
        <v>88.5</v>
      </c>
      <c r="AL28" s="3">
        <v>88.5</v>
      </c>
    </row>
    <row r="29" spans="2:144" x14ac:dyDescent="0.3">
      <c r="B29" t="s">
        <v>44</v>
      </c>
      <c r="I29" s="7">
        <f t="shared" ref="I29:P29" si="64">I27/I28</f>
        <v>0.10621468926553666</v>
      </c>
      <c r="J29" s="7">
        <f t="shared" si="64"/>
        <v>0.23502824858757046</v>
      </c>
      <c r="K29" s="7">
        <f t="shared" si="64"/>
        <v>0.17288135593220327</v>
      </c>
      <c r="L29" s="7">
        <f t="shared" si="64"/>
        <v>0.15367231638418072</v>
      </c>
      <c r="M29" s="7">
        <f t="shared" si="64"/>
        <v>0.18983050847457619</v>
      </c>
      <c r="N29" s="7">
        <f t="shared" si="64"/>
        <v>1.2135593220338985</v>
      </c>
      <c r="O29" s="7">
        <f t="shared" si="64"/>
        <v>0.16723163841807909</v>
      </c>
      <c r="P29" s="7">
        <f t="shared" si="64"/>
        <v>0.21694915254237279</v>
      </c>
      <c r="Q29" s="7">
        <f t="shared" ref="Q29:R29" si="65">Q27/Q28</f>
        <v>0.2056497175141242</v>
      </c>
      <c r="R29" s="7">
        <f t="shared" si="65"/>
        <v>0.32316384180790925</v>
      </c>
      <c r="S29" s="7">
        <f t="shared" ref="S29:V29" si="66">S27/S28</f>
        <v>0.27749532203389837</v>
      </c>
      <c r="T29" s="7">
        <f t="shared" si="66"/>
        <v>0.27885272881355933</v>
      </c>
      <c r="U29" s="7">
        <f t="shared" si="66"/>
        <v>0.29299471186440668</v>
      </c>
      <c r="V29" s="7">
        <f t="shared" si="66"/>
        <v>0.35081661016949139</v>
      </c>
      <c r="X29" s="7">
        <f>X27/X28</f>
        <v>-0.48587570621468928</v>
      </c>
      <c r="Y29" s="7">
        <f>Y27/Y28</f>
        <v>0.17062146892655328</v>
      </c>
      <c r="Z29" s="7">
        <f>Z27/Z28</f>
        <v>1.729943502824858</v>
      </c>
      <c r="AA29" s="7">
        <f>AA27/AA28</f>
        <v>0.91299435028248566</v>
      </c>
      <c r="AB29" s="7">
        <f>AB27/AB28</f>
        <v>1.2001593728813571</v>
      </c>
      <c r="AC29" s="7">
        <f t="shared" ref="AC29:AL29" si="67">AC27/AC28</f>
        <v>1.5696750379661002</v>
      </c>
      <c r="AD29" s="7">
        <f t="shared" si="67"/>
        <v>1.9260234570870052</v>
      </c>
      <c r="AE29" s="7">
        <f t="shared" si="67"/>
        <v>2.0626316500755029</v>
      </c>
      <c r="AF29" s="7">
        <f t="shared" si="67"/>
        <v>2.1823170832053504</v>
      </c>
      <c r="AG29" s="7">
        <f t="shared" si="67"/>
        <v>2.2715361109663648</v>
      </c>
      <c r="AH29" s="7">
        <f t="shared" si="67"/>
        <v>2.3453211541803674</v>
      </c>
      <c r="AI29" s="7">
        <f t="shared" si="67"/>
        <v>2.4076995546404092</v>
      </c>
      <c r="AJ29" s="7">
        <f t="shared" si="67"/>
        <v>2.4716398698766628</v>
      </c>
      <c r="AK29" s="7">
        <f t="shared" si="67"/>
        <v>2.5371924443516489</v>
      </c>
      <c r="AL29" s="7">
        <f t="shared" si="67"/>
        <v>2.6044104167487392</v>
      </c>
    </row>
    <row r="30" spans="2:144" x14ac:dyDescent="0.3">
      <c r="M30" s="9"/>
      <c r="N30" s="9"/>
      <c r="O30" s="9"/>
      <c r="P30" s="9"/>
      <c r="Y30" s="9"/>
      <c r="Z30" s="9"/>
      <c r="AA30" s="9"/>
    </row>
    <row r="31" spans="2:144" x14ac:dyDescent="0.3">
      <c r="B31" t="s">
        <v>93</v>
      </c>
      <c r="G31" s="10">
        <f>G3/C3-1</f>
        <v>0.44194756554307113</v>
      </c>
      <c r="H31" s="10">
        <f t="shared" ref="H31:R31" si="68">H3/D3-1</f>
        <v>0.49134948096885833</v>
      </c>
      <c r="I31" s="10">
        <f t="shared" si="68"/>
        <v>0.40687679083094563</v>
      </c>
      <c r="J31" s="10">
        <f t="shared" si="68"/>
        <v>0.54768392370572183</v>
      </c>
      <c r="K31" s="10">
        <f t="shared" si="68"/>
        <v>0.25974025974025983</v>
      </c>
      <c r="L31" s="10">
        <f t="shared" si="68"/>
        <v>0.24825986078886308</v>
      </c>
      <c r="M31" s="10">
        <f t="shared" si="68"/>
        <v>0.23828920570264756</v>
      </c>
      <c r="N31" s="10">
        <f t="shared" si="68"/>
        <v>0.19366197183098599</v>
      </c>
      <c r="O31" s="10">
        <f t="shared" si="68"/>
        <v>0.2082474226804123</v>
      </c>
      <c r="P31" s="10">
        <f t="shared" si="68"/>
        <v>0.2007434944237918</v>
      </c>
      <c r="Q31" s="10">
        <f t="shared" si="68"/>
        <v>0.26315789473684204</v>
      </c>
      <c r="R31" s="10">
        <f t="shared" si="68"/>
        <v>0.37610619469026552</v>
      </c>
      <c r="Y31" s="10">
        <f t="shared" ref="Y31:Z31" si="69">Y3/X3-1</f>
        <v>0.47405660377358494</v>
      </c>
      <c r="Z31" s="10">
        <f t="shared" si="69"/>
        <v>0.23146666666666649</v>
      </c>
      <c r="AA31" s="10">
        <f>AA3/Z3-1</f>
        <v>0.27024686011260313</v>
      </c>
      <c r="AB31" s="10">
        <f>AB3/AA3-1</f>
        <v>0.24190589839754506</v>
      </c>
      <c r="AC31" s="10">
        <f t="shared" ref="AC31:AL31" si="70">AC3/AB3-1</f>
        <v>0.14999999999999991</v>
      </c>
      <c r="AD31" s="10">
        <f t="shared" si="70"/>
        <v>0.10000000000000009</v>
      </c>
      <c r="AE31" s="10">
        <f t="shared" si="70"/>
        <v>5.0000000000000044E-2</v>
      </c>
      <c r="AF31" s="10">
        <f t="shared" si="70"/>
        <v>4.0000000000000036E-2</v>
      </c>
      <c r="AG31" s="10">
        <f t="shared" si="70"/>
        <v>3.0000000000000027E-2</v>
      </c>
      <c r="AH31" s="10">
        <f t="shared" si="70"/>
        <v>2.0000000000000018E-2</v>
      </c>
      <c r="AI31" s="10">
        <f t="shared" si="70"/>
        <v>2.0000000000000018E-2</v>
      </c>
      <c r="AJ31" s="10">
        <f t="shared" si="70"/>
        <v>2.0000000000000018E-2</v>
      </c>
      <c r="AK31" s="10">
        <f t="shared" si="70"/>
        <v>2.0000000000000018E-2</v>
      </c>
      <c r="AL31" s="10">
        <f t="shared" si="70"/>
        <v>2.0000000000000018E-2</v>
      </c>
    </row>
    <row r="32" spans="2:144" x14ac:dyDescent="0.3">
      <c r="B32" t="s">
        <v>94</v>
      </c>
      <c r="G32" s="10">
        <f t="shared" ref="G32:R32" si="71">G4/C4-1</f>
        <v>0.36752136752136755</v>
      </c>
      <c r="H32" s="10">
        <f t="shared" si="71"/>
        <v>0.13087248322147649</v>
      </c>
      <c r="I32" s="10">
        <f t="shared" si="71"/>
        <v>0.15309446254071668</v>
      </c>
      <c r="J32" s="10">
        <f t="shared" si="71"/>
        <v>0.12068965517241392</v>
      </c>
      <c r="K32" s="10">
        <f t="shared" si="71"/>
        <v>0.18124999999999991</v>
      </c>
      <c r="L32" s="10">
        <f t="shared" si="71"/>
        <v>0.15430267062314518</v>
      </c>
      <c r="M32" s="10">
        <f t="shared" si="71"/>
        <v>0.15254237288135597</v>
      </c>
      <c r="N32" s="10">
        <f t="shared" si="71"/>
        <v>0.1461538461538463</v>
      </c>
      <c r="O32" s="10">
        <f t="shared" si="71"/>
        <v>0.14021164021164023</v>
      </c>
      <c r="P32" s="10">
        <f t="shared" si="71"/>
        <v>0.14395886889460163</v>
      </c>
      <c r="Q32" s="10">
        <f t="shared" si="71"/>
        <v>0.13480392156862742</v>
      </c>
      <c r="R32" s="10">
        <f t="shared" si="71"/>
        <v>0.17002237136465315</v>
      </c>
      <c r="Y32" s="10">
        <f t="shared" ref="Y32:AA32" si="72">Y4/X4-1</f>
        <v>0.18028643639427111</v>
      </c>
      <c r="Z32" s="10">
        <f t="shared" si="72"/>
        <v>0.15774446823697352</v>
      </c>
      <c r="AA32" s="10">
        <f t="shared" si="72"/>
        <v>0.14796547472256472</v>
      </c>
      <c r="AB32" s="10">
        <f t="shared" ref="AB32:AL32" si="73">AB4/AA4-1</f>
        <v>0.14421052631578934</v>
      </c>
      <c r="AC32" s="10">
        <f t="shared" si="73"/>
        <v>0.12000000000000011</v>
      </c>
      <c r="AD32" s="10">
        <f t="shared" si="73"/>
        <v>8.0000000000000071E-2</v>
      </c>
      <c r="AE32" s="10">
        <f t="shared" si="73"/>
        <v>6.0000000000000053E-2</v>
      </c>
      <c r="AF32" s="10">
        <f t="shared" si="73"/>
        <v>5.0000000000000044E-2</v>
      </c>
      <c r="AG32" s="10">
        <f t="shared" si="73"/>
        <v>4.0000000000000036E-2</v>
      </c>
      <c r="AH32" s="10">
        <f t="shared" si="73"/>
        <v>3.0000000000000027E-2</v>
      </c>
      <c r="AI32" s="10">
        <f t="shared" si="73"/>
        <v>2.0000000000000018E-2</v>
      </c>
      <c r="AJ32" s="10">
        <f t="shared" si="73"/>
        <v>2.0000000000000018E-2</v>
      </c>
      <c r="AK32" s="10">
        <f t="shared" si="73"/>
        <v>2.0000000000000018E-2</v>
      </c>
      <c r="AL32" s="10">
        <f t="shared" si="73"/>
        <v>2.0000000000000018E-2</v>
      </c>
    </row>
    <row r="33" spans="2:41" x14ac:dyDescent="0.3">
      <c r="B33" t="s">
        <v>95</v>
      </c>
      <c r="G33" s="10">
        <f t="shared" ref="G33:R33" si="74">G5/C5-1</f>
        <v>-0.21428571428571419</v>
      </c>
      <c r="H33" s="10">
        <f t="shared" si="74"/>
        <v>-0.2857142857142857</v>
      </c>
      <c r="I33" s="10">
        <f t="shared" si="74"/>
        <v>-0.19999999999999996</v>
      </c>
      <c r="J33" s="10">
        <f t="shared" si="74"/>
        <v>-0.58333333333333326</v>
      </c>
      <c r="K33" s="10">
        <f t="shared" si="74"/>
        <v>-0.36363636363636376</v>
      </c>
      <c r="L33" s="10">
        <f t="shared" si="74"/>
        <v>0.5</v>
      </c>
      <c r="M33" s="10">
        <f t="shared" si="74"/>
        <v>0.25</v>
      </c>
      <c r="N33" s="10">
        <f t="shared" si="74"/>
        <v>0</v>
      </c>
      <c r="O33" s="10">
        <f t="shared" si="74"/>
        <v>-0.8571428571428571</v>
      </c>
      <c r="P33" s="10">
        <f t="shared" si="74"/>
        <v>-0.60000000000000009</v>
      </c>
      <c r="Q33" s="10">
        <f t="shared" si="74"/>
        <v>-0.9</v>
      </c>
      <c r="R33" s="10">
        <f t="shared" si="74"/>
        <v>-0.6</v>
      </c>
      <c r="Y33" s="10">
        <f t="shared" ref="Y33:AA33" si="75">Y5/X5-1</f>
        <v>-0.31999999999999995</v>
      </c>
      <c r="Z33" s="10">
        <f t="shared" si="75"/>
        <v>8.8235294117646967E-2</v>
      </c>
      <c r="AA33" s="10">
        <f t="shared" si="75"/>
        <v>-0.72972972972972983</v>
      </c>
      <c r="AB33" s="10">
        <f t="shared" ref="AB33:AL33" si="76">AB5/AA5-1</f>
        <v>-0.7</v>
      </c>
      <c r="AC33" s="10">
        <f t="shared" si="76"/>
        <v>-1</v>
      </c>
      <c r="AD33" s="10" t="e">
        <f t="shared" si="76"/>
        <v>#DIV/0!</v>
      </c>
      <c r="AE33" s="10" t="e">
        <f t="shared" si="76"/>
        <v>#DIV/0!</v>
      </c>
      <c r="AF33" s="10" t="e">
        <f t="shared" si="76"/>
        <v>#DIV/0!</v>
      </c>
      <c r="AG33" s="10" t="e">
        <f t="shared" si="76"/>
        <v>#DIV/0!</v>
      </c>
      <c r="AH33" s="10" t="e">
        <f t="shared" si="76"/>
        <v>#DIV/0!</v>
      </c>
      <c r="AI33" s="10" t="e">
        <f t="shared" si="76"/>
        <v>#DIV/0!</v>
      </c>
      <c r="AJ33" s="10" t="e">
        <f t="shared" si="76"/>
        <v>#DIV/0!</v>
      </c>
      <c r="AK33" s="10" t="e">
        <f t="shared" si="76"/>
        <v>#DIV/0!</v>
      </c>
      <c r="AL33" s="10" t="e">
        <f t="shared" si="76"/>
        <v>#DIV/0!</v>
      </c>
    </row>
    <row r="34" spans="2:41" s="1" customFormat="1" x14ac:dyDescent="0.3">
      <c r="B34" s="1" t="s">
        <v>46</v>
      </c>
      <c r="M34" s="9">
        <f>M8/I8-1</f>
        <v>0.20140515222482436</v>
      </c>
      <c r="N34" s="9">
        <f t="shared" ref="N34:R34" si="77">N8/J8-1</f>
        <v>0.17738589211618261</v>
      </c>
      <c r="O34" s="9">
        <f t="shared" si="77"/>
        <v>0.17221584385763489</v>
      </c>
      <c r="P34" s="9">
        <f t="shared" si="77"/>
        <v>0.17709437963944863</v>
      </c>
      <c r="Q34" s="9">
        <f t="shared" si="77"/>
        <v>0.20760233918128645</v>
      </c>
      <c r="R34" s="9">
        <f t="shared" si="77"/>
        <v>0.2854625550660792</v>
      </c>
      <c r="S34" s="9">
        <f t="shared" ref="S34" si="78">S8/O8-1</f>
        <v>0.25821743388834473</v>
      </c>
      <c r="T34" s="9">
        <f t="shared" ref="T34" si="79">T8/P8-1</f>
        <v>0.21209909909909941</v>
      </c>
      <c r="U34" s="9">
        <f t="shared" ref="U34" si="80">U8/Q8-1</f>
        <v>0.19270379338175947</v>
      </c>
      <c r="V34" s="9">
        <f t="shared" ref="V34" si="81">V8/R8-1</f>
        <v>0.15709389993145995</v>
      </c>
      <c r="X34" s="9"/>
      <c r="Y34" s="9">
        <f>Y8/X8-1</f>
        <v>0.31809145129224659</v>
      </c>
      <c r="Z34" s="9">
        <f t="shared" ref="Z34:AL34" si="82">Z8/Y8-1</f>
        <v>0.19909502262443413</v>
      </c>
      <c r="AA34" s="9">
        <f t="shared" si="82"/>
        <v>0.2148427672955977</v>
      </c>
      <c r="AB34" s="9">
        <f t="shared" si="82"/>
        <v>0.20025471112031501</v>
      </c>
      <c r="AC34" s="9">
        <f t="shared" si="82"/>
        <v>0.1385498177200597</v>
      </c>
      <c r="AD34" s="9">
        <f t="shared" si="82"/>
        <v>9.3131811671189224E-2</v>
      </c>
      <c r="AE34" s="9">
        <f t="shared" si="82"/>
        <v>5.417136414782231E-2</v>
      </c>
      <c r="AF34" s="9">
        <f t="shared" si="82"/>
        <v>4.4319407959620971E-2</v>
      </c>
      <c r="AG34" s="9">
        <f t="shared" si="82"/>
        <v>3.3977348000460372E-2</v>
      </c>
      <c r="AH34" s="9">
        <f t="shared" si="82"/>
        <v>2.4077284365026097E-2</v>
      </c>
      <c r="AI34" s="9">
        <f t="shared" si="82"/>
        <v>2.0477404842623725E-2</v>
      </c>
      <c r="AJ34" s="9">
        <f t="shared" si="82"/>
        <v>2.0514607500758064E-2</v>
      </c>
      <c r="AK34" s="9">
        <f t="shared" si="82"/>
        <v>2.0554689023236872E-2</v>
      </c>
      <c r="AL34" s="9">
        <f t="shared" si="82"/>
        <v>2.0597868915917417E-2</v>
      </c>
    </row>
    <row r="35" spans="2:41" s="1" customFormat="1" x14ac:dyDescent="0.3">
      <c r="B35" t="s">
        <v>65</v>
      </c>
      <c r="C35"/>
      <c r="D35"/>
      <c r="E35"/>
      <c r="F35"/>
      <c r="I35" s="10">
        <f t="shared" ref="I35:R35" si="83">(I8-I9)/I8</f>
        <v>0.98829039812646369</v>
      </c>
      <c r="J35" s="10">
        <f t="shared" si="83"/>
        <v>0.99170124481327804</v>
      </c>
      <c r="K35" s="10">
        <f t="shared" si="83"/>
        <v>0.99081515499425954</v>
      </c>
      <c r="L35" s="10">
        <f t="shared" si="83"/>
        <v>0.98833510074231179</v>
      </c>
      <c r="M35" s="10">
        <f t="shared" si="83"/>
        <v>0.99317738791422994</v>
      </c>
      <c r="N35" s="10">
        <f t="shared" si="83"/>
        <v>0.99559471365638763</v>
      </c>
      <c r="O35" s="10">
        <f t="shared" si="83"/>
        <v>0.9627815866797258</v>
      </c>
      <c r="P35" s="10">
        <f t="shared" si="83"/>
        <v>0.98288288288288284</v>
      </c>
      <c r="Q35" s="10">
        <f t="shared" si="83"/>
        <v>0.98547215496368046</v>
      </c>
      <c r="R35" s="10">
        <f t="shared" si="83"/>
        <v>0.98286497601096645</v>
      </c>
      <c r="S35" s="10">
        <f t="shared" ref="S35:V35" si="84">(S8-S9)/S8</f>
        <v>0.98</v>
      </c>
      <c r="T35" s="10">
        <f t="shared" si="84"/>
        <v>0.98000000000000009</v>
      </c>
      <c r="U35" s="10">
        <f t="shared" si="84"/>
        <v>0.98</v>
      </c>
      <c r="V35" s="10">
        <f t="shared" si="84"/>
        <v>0.98000000000000009</v>
      </c>
      <c r="X35" s="10">
        <f t="shared" ref="X35:AB35" si="85">(X8-X9)/X8</f>
        <v>0.98210735586481113</v>
      </c>
      <c r="Y35" s="10">
        <f t="shared" si="85"/>
        <v>0.98763197586726992</v>
      </c>
      <c r="Z35" s="10">
        <f t="shared" si="85"/>
        <v>0.99220125786163516</v>
      </c>
      <c r="AA35" s="10">
        <f t="shared" si="85"/>
        <v>0.979291778836198</v>
      </c>
      <c r="AB35" s="10">
        <f t="shared" si="85"/>
        <v>0.98000000000000009</v>
      </c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2:41" s="1" customFormat="1" x14ac:dyDescent="0.3">
      <c r="B36" t="s">
        <v>66</v>
      </c>
      <c r="C36"/>
      <c r="D36"/>
      <c r="E36"/>
      <c r="F36"/>
      <c r="I36" s="10">
        <f t="shared" ref="I36:Q36" si="86">(I8-I10)/I8</f>
        <v>0.99063231850117095</v>
      </c>
      <c r="J36" s="10">
        <f t="shared" si="86"/>
        <v>0.99066390041493768</v>
      </c>
      <c r="K36" s="10">
        <f t="shared" si="86"/>
        <v>0.98966704936854188</v>
      </c>
      <c r="L36" s="10">
        <f t="shared" si="86"/>
        <v>0.98833510074231179</v>
      </c>
      <c r="M36" s="10">
        <f t="shared" si="86"/>
        <v>0.98830409356725146</v>
      </c>
      <c r="N36" s="10">
        <f t="shared" si="86"/>
        <v>0.99030837004405292</v>
      </c>
      <c r="O36" s="10">
        <f t="shared" si="86"/>
        <v>0.99020568070519099</v>
      </c>
      <c r="P36" s="10">
        <f t="shared" si="86"/>
        <v>0.99189189189189186</v>
      </c>
      <c r="Q36" s="10">
        <f t="shared" si="86"/>
        <v>0.99273607748184012</v>
      </c>
      <c r="R36" s="10">
        <f>(R8-R10)/R8</f>
        <v>0.99246058944482529</v>
      </c>
      <c r="S36" s="10">
        <f t="shared" ref="S36:V36" si="87">(S8-S10)/S8</f>
        <v>0.99</v>
      </c>
      <c r="T36" s="10">
        <f t="shared" si="87"/>
        <v>0.9900000000000001</v>
      </c>
      <c r="U36" s="10">
        <f t="shared" si="87"/>
        <v>0.9900000000000001</v>
      </c>
      <c r="V36" s="10">
        <f t="shared" si="87"/>
        <v>0.99</v>
      </c>
      <c r="X36" s="10">
        <f t="shared" ref="X36:AB36" si="88">(X8-X10)/X8</f>
        <v>0.98528827037773359</v>
      </c>
      <c r="Y36" s="10">
        <f t="shared" si="88"/>
        <v>0.98853695324283553</v>
      </c>
      <c r="Z36" s="10">
        <f t="shared" si="88"/>
        <v>0.98918238993710694</v>
      </c>
      <c r="AA36" s="10">
        <f t="shared" si="88"/>
        <v>0.99192379374611728</v>
      </c>
      <c r="AB36" s="10">
        <f t="shared" si="88"/>
        <v>0.9900000000000001</v>
      </c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2:41" s="1" customFormat="1" x14ac:dyDescent="0.3">
      <c r="B37" t="s">
        <v>67</v>
      </c>
      <c r="C37"/>
      <c r="D37"/>
      <c r="E37"/>
      <c r="F37"/>
      <c r="I37" s="10">
        <f t="shared" ref="I37:Q37" si="89">(I8-I11)/I8</f>
        <v>0.83723653395784536</v>
      </c>
      <c r="J37" s="10">
        <f t="shared" si="89"/>
        <v>0.8205394190871369</v>
      </c>
      <c r="K37" s="10">
        <f t="shared" si="89"/>
        <v>0.82548794489092991</v>
      </c>
      <c r="L37" s="10">
        <f t="shared" si="89"/>
        <v>0.78366914103923635</v>
      </c>
      <c r="M37" s="10">
        <f t="shared" si="89"/>
        <v>0.77290448343079921</v>
      </c>
      <c r="N37" s="10">
        <f t="shared" si="89"/>
        <v>0.76211453744493396</v>
      </c>
      <c r="O37" s="10">
        <f t="shared" si="89"/>
        <v>0.81096963761018614</v>
      </c>
      <c r="P37" s="10">
        <f t="shared" si="89"/>
        <v>0.77567567567567575</v>
      </c>
      <c r="Q37" s="10">
        <f t="shared" si="89"/>
        <v>0.75544794188861986</v>
      </c>
      <c r="R37" s="10">
        <f>(R8-R11)/R8</f>
        <v>0.69773817683344752</v>
      </c>
      <c r="S37" s="10">
        <f t="shared" ref="S37:V37" si="90">(S8-S11)/S8</f>
        <v>0.73</v>
      </c>
      <c r="T37" s="10">
        <f t="shared" si="90"/>
        <v>0.72</v>
      </c>
      <c r="U37" s="10">
        <f t="shared" si="90"/>
        <v>0.71</v>
      </c>
      <c r="V37" s="10">
        <f t="shared" si="90"/>
        <v>0.70000000000000007</v>
      </c>
      <c r="X37" s="10">
        <f t="shared" ref="X37:AB37" si="91">(X8-X11)/X8</f>
        <v>0.97813121272365811</v>
      </c>
      <c r="Y37" s="10">
        <f t="shared" si="91"/>
        <v>0.8591251885369533</v>
      </c>
      <c r="Z37" s="10">
        <f t="shared" si="91"/>
        <v>0.78389937106918239</v>
      </c>
      <c r="AA37" s="10">
        <f t="shared" si="91"/>
        <v>0.75440049699730782</v>
      </c>
      <c r="AB37" s="10">
        <f t="shared" si="91"/>
        <v>0.71384143974410086</v>
      </c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2:41" x14ac:dyDescent="0.3">
      <c r="B38" t="s">
        <v>47</v>
      </c>
      <c r="I38" s="10">
        <f t="shared" ref="I38:L38" si="92">I13/I8</f>
        <v>0.81615925058548</v>
      </c>
      <c r="J38" s="10">
        <f t="shared" si="92"/>
        <v>0.80290456431535273</v>
      </c>
      <c r="K38" s="10">
        <f t="shared" si="92"/>
        <v>0.80597014925373123</v>
      </c>
      <c r="L38" s="10">
        <f t="shared" si="92"/>
        <v>0.76033934252386004</v>
      </c>
      <c r="M38" s="10">
        <f>M13/M8</f>
        <v>0.75438596491228072</v>
      </c>
      <c r="N38" s="10">
        <f t="shared" ref="N38:R38" si="93">N13/N8</f>
        <v>0.74801762114537451</v>
      </c>
      <c r="O38" s="10">
        <f t="shared" si="93"/>
        <v>0.76395690499510294</v>
      </c>
      <c r="P38" s="10">
        <f t="shared" si="93"/>
        <v>0.75045045045045045</v>
      </c>
      <c r="Q38" s="10">
        <f t="shared" si="93"/>
        <v>0.73365617433414043</v>
      </c>
      <c r="R38" s="10">
        <f t="shared" si="93"/>
        <v>0.67306374228923915</v>
      </c>
      <c r="S38" s="10">
        <f t="shared" ref="S38:V38" si="94">S13/S8</f>
        <v>0.70000000000000007</v>
      </c>
      <c r="T38" s="10">
        <f t="shared" si="94"/>
        <v>0.69</v>
      </c>
      <c r="U38" s="10">
        <f t="shared" si="94"/>
        <v>0.67999999999999994</v>
      </c>
      <c r="V38" s="10">
        <f t="shared" si="94"/>
        <v>0.67</v>
      </c>
      <c r="X38" s="10">
        <f t="shared" ref="X38:AL38" si="95">X13/X8</f>
        <v>0.94552683896620282</v>
      </c>
      <c r="Y38" s="10">
        <f t="shared" si="95"/>
        <v>0.83529411764705874</v>
      </c>
      <c r="Z38" s="10">
        <f t="shared" si="95"/>
        <v>0.76528301886792449</v>
      </c>
      <c r="AA38" s="10">
        <f t="shared" si="95"/>
        <v>0.7256160695796231</v>
      </c>
      <c r="AB38" s="10">
        <f t="shared" si="95"/>
        <v>0.68384143974410072</v>
      </c>
      <c r="AC38" s="10">
        <f t="shared" si="95"/>
        <v>0.69</v>
      </c>
      <c r="AD38" s="10">
        <f t="shared" si="95"/>
        <v>0.7</v>
      </c>
      <c r="AE38" s="10">
        <f t="shared" si="95"/>
        <v>0.70000000000000007</v>
      </c>
      <c r="AF38" s="10">
        <f t="shared" si="95"/>
        <v>0.69999999999999984</v>
      </c>
      <c r="AG38" s="10">
        <f t="shared" si="95"/>
        <v>0.7</v>
      </c>
      <c r="AH38" s="10">
        <f t="shared" si="95"/>
        <v>0.7</v>
      </c>
      <c r="AI38" s="10">
        <f t="shared" si="95"/>
        <v>0.7</v>
      </c>
      <c r="AJ38" s="10">
        <f t="shared" si="95"/>
        <v>0.7</v>
      </c>
      <c r="AK38" s="10">
        <f t="shared" si="95"/>
        <v>0.7</v>
      </c>
      <c r="AL38" s="10">
        <f t="shared" si="95"/>
        <v>0.7</v>
      </c>
      <c r="AN38" t="s">
        <v>52</v>
      </c>
      <c r="AO38" s="10">
        <v>-0.01</v>
      </c>
    </row>
    <row r="39" spans="2:41" x14ac:dyDescent="0.3">
      <c r="B39" t="s">
        <v>48</v>
      </c>
      <c r="I39" s="10"/>
      <c r="J39" s="10"/>
      <c r="K39" s="10"/>
      <c r="L39" s="10"/>
      <c r="M39" s="10">
        <f>M14/I14-1</f>
        <v>0.14999999999999991</v>
      </c>
      <c r="N39" s="10">
        <f t="shared" ref="N39:R39" si="96">N14/J14-1</f>
        <v>-2.3696682464454999E-2</v>
      </c>
      <c r="O39" s="10">
        <f t="shared" si="96"/>
        <v>-5.9701492537313605E-2</v>
      </c>
      <c r="P39" s="10">
        <f t="shared" si="96"/>
        <v>-7.4766355140186813E-2</v>
      </c>
      <c r="Q39" s="10">
        <f t="shared" si="96"/>
        <v>0.12077294685990347</v>
      </c>
      <c r="R39" s="10">
        <f t="shared" si="96"/>
        <v>-0.13592233009708743</v>
      </c>
      <c r="S39" s="10">
        <f t="shared" ref="S39" si="97">S14/O14-1</f>
        <v>-0.12</v>
      </c>
      <c r="T39" s="10">
        <f t="shared" ref="T39" si="98">T14/P14-1</f>
        <v>-9.9999999999999978E-2</v>
      </c>
      <c r="U39" s="10">
        <f t="shared" ref="U39" si="99">U14/Q14-1</f>
        <v>-0.20000000000000007</v>
      </c>
      <c r="V39" s="10">
        <f t="shared" ref="V39" si="100">V14/R14-1</f>
        <v>5.0000000000000044E-2</v>
      </c>
      <c r="X39" s="10"/>
      <c r="Y39" s="10">
        <f>Y14/X14-1</f>
        <v>1.3422818791946067E-3</v>
      </c>
      <c r="Z39" s="10">
        <f t="shared" ref="Z39:AL39" si="101">Z14/Y14-1</f>
        <v>0.1099195710455767</v>
      </c>
      <c r="AA39" s="10">
        <f t="shared" si="101"/>
        <v>-3.7439613526570104E-2</v>
      </c>
      <c r="AB39" s="10">
        <f t="shared" si="101"/>
        <v>-0.1003513174404016</v>
      </c>
      <c r="AC39" s="10">
        <f t="shared" si="101"/>
        <v>8.0000000000000071E-2</v>
      </c>
      <c r="AD39" s="10">
        <f t="shared" si="101"/>
        <v>5.0000000000000044E-2</v>
      </c>
      <c r="AE39" s="10">
        <f t="shared" si="101"/>
        <v>4.0000000000000036E-2</v>
      </c>
      <c r="AF39" s="10">
        <f t="shared" si="101"/>
        <v>3.0000000000000027E-2</v>
      </c>
      <c r="AG39" s="10">
        <f t="shared" si="101"/>
        <v>3.0000000000000027E-2</v>
      </c>
      <c r="AH39" s="10">
        <f t="shared" si="101"/>
        <v>1.0000000000000009E-2</v>
      </c>
      <c r="AI39" s="10">
        <f t="shared" si="101"/>
        <v>1.0000000000000009E-2</v>
      </c>
      <c r="AJ39" s="10">
        <f t="shared" si="101"/>
        <v>1.0000000000000009E-2</v>
      </c>
      <c r="AK39" s="10">
        <f t="shared" si="101"/>
        <v>1.0000000000000009E-2</v>
      </c>
      <c r="AL39" s="10">
        <f t="shared" si="101"/>
        <v>1.0000000000000009E-2</v>
      </c>
      <c r="AN39" t="s">
        <v>53</v>
      </c>
      <c r="AO39" s="10">
        <v>0.1</v>
      </c>
    </row>
    <row r="40" spans="2:41" x14ac:dyDescent="0.3">
      <c r="B40" t="s">
        <v>49</v>
      </c>
      <c r="I40" s="10">
        <f t="shared" ref="I40:L40" si="102">I15/I8</f>
        <v>0.3044496487119438</v>
      </c>
      <c r="J40" s="10">
        <f t="shared" si="102"/>
        <v>0.30705394190871371</v>
      </c>
      <c r="K40" s="10">
        <f t="shared" si="102"/>
        <v>0.28013777267508611</v>
      </c>
      <c r="L40" s="10">
        <f t="shared" si="102"/>
        <v>0.28632025450689297</v>
      </c>
      <c r="M40" s="10">
        <f>M15/M8</f>
        <v>0.27680311890838205</v>
      </c>
      <c r="N40" s="10">
        <f t="shared" ref="N40:R40" si="103">N15/N8</f>
        <v>0.26519823788546254</v>
      </c>
      <c r="O40" s="10">
        <f t="shared" si="103"/>
        <v>0.28893241919686585</v>
      </c>
      <c r="P40" s="10">
        <f t="shared" si="103"/>
        <v>0.26126126126126131</v>
      </c>
      <c r="Q40" s="10">
        <f t="shared" si="103"/>
        <v>0.2623083131557708</v>
      </c>
      <c r="R40" s="10">
        <f t="shared" si="103"/>
        <v>0.28032899246058945</v>
      </c>
      <c r="S40" s="10">
        <f t="shared" ref="S40:V40" si="104">S15/S8</f>
        <v>0.26</v>
      </c>
      <c r="T40" s="10">
        <f t="shared" si="104"/>
        <v>0.26</v>
      </c>
      <c r="U40" s="10">
        <f t="shared" si="104"/>
        <v>0.26</v>
      </c>
      <c r="V40" s="10">
        <f t="shared" si="104"/>
        <v>0.26</v>
      </c>
      <c r="X40" s="10">
        <f t="shared" ref="X40:AL40" si="105">X15/X8</f>
        <v>0.48071570576540756</v>
      </c>
      <c r="Y40" s="10">
        <f t="shared" si="105"/>
        <v>0.34690799396681749</v>
      </c>
      <c r="Z40" s="10">
        <f t="shared" si="105"/>
        <v>0.27647798742138369</v>
      </c>
      <c r="AA40" s="10">
        <f t="shared" si="105"/>
        <v>0.27314143715054878</v>
      </c>
      <c r="AB40" s="10">
        <f t="shared" si="105"/>
        <v>0.26</v>
      </c>
      <c r="AC40" s="10">
        <f t="shared" si="105"/>
        <v>0.25</v>
      </c>
      <c r="AD40" s="10">
        <f t="shared" si="105"/>
        <v>0.24</v>
      </c>
      <c r="AE40" s="10">
        <f t="shared" si="105"/>
        <v>0.24</v>
      </c>
      <c r="AF40" s="10">
        <f t="shared" si="105"/>
        <v>0.24</v>
      </c>
      <c r="AG40" s="10">
        <f t="shared" si="105"/>
        <v>0.24</v>
      </c>
      <c r="AH40" s="10">
        <f t="shared" si="105"/>
        <v>0.24</v>
      </c>
      <c r="AI40" s="10">
        <f t="shared" si="105"/>
        <v>0.24</v>
      </c>
      <c r="AJ40" s="10">
        <f t="shared" si="105"/>
        <v>0.24</v>
      </c>
      <c r="AK40" s="10">
        <f t="shared" si="105"/>
        <v>0.24</v>
      </c>
      <c r="AL40" s="10">
        <f t="shared" si="105"/>
        <v>0.24</v>
      </c>
      <c r="AN40" t="s">
        <v>54</v>
      </c>
      <c r="AO40" s="3">
        <f>NPV(AO39,AB27:EN27)</f>
        <v>1890.6041949476364</v>
      </c>
    </row>
    <row r="41" spans="2:41" x14ac:dyDescent="0.3">
      <c r="B41" t="s">
        <v>50</v>
      </c>
      <c r="I41" s="10">
        <f t="shared" ref="I41:L41" si="106">I20/I8</f>
        <v>0.18969555035128802</v>
      </c>
      <c r="J41" s="10">
        <f t="shared" si="106"/>
        <v>0.12136929460580902</v>
      </c>
      <c r="K41" s="10">
        <f t="shared" si="106"/>
        <v>0.158438576349024</v>
      </c>
      <c r="L41" s="10">
        <f t="shared" si="106"/>
        <v>0.13255567338282073</v>
      </c>
      <c r="M41" s="10">
        <f>M20/M8</f>
        <v>0.15594541910331378</v>
      </c>
      <c r="N41" s="10">
        <f t="shared" ref="N41:R41" si="107">N20/N8</f>
        <v>0.17973568281938332</v>
      </c>
      <c r="O41" s="10">
        <f t="shared" si="107"/>
        <v>0.19000979431929479</v>
      </c>
      <c r="P41" s="10">
        <f t="shared" si="107"/>
        <v>0.19729729729729725</v>
      </c>
      <c r="Q41" s="10">
        <f t="shared" si="107"/>
        <v>0.18886198547215491</v>
      </c>
      <c r="R41" s="10">
        <f t="shared" si="107"/>
        <v>0.18848526387936926</v>
      </c>
      <c r="S41" s="10">
        <f t="shared" ref="S41:V41" si="108">S20/S8</f>
        <v>0.21712043841076104</v>
      </c>
      <c r="T41" s="10">
        <f t="shared" si="108"/>
        <v>0.2083608214474183</v>
      </c>
      <c r="U41" s="10">
        <f t="shared" si="108"/>
        <v>0.19966652230402768</v>
      </c>
      <c r="V41" s="10">
        <f t="shared" si="108"/>
        <v>0.21043833668996559</v>
      </c>
      <c r="X41" s="10">
        <f t="shared" ref="X41:AL41" si="109">X20/X8</f>
        <v>-2.4652087475149059E-2</v>
      </c>
      <c r="Y41" s="10">
        <f t="shared" si="109"/>
        <v>0.1224736048265459</v>
      </c>
      <c r="Z41" s="10">
        <f t="shared" si="109"/>
        <v>0.15773584905660362</v>
      </c>
      <c r="AA41" s="10">
        <f t="shared" si="109"/>
        <v>0.19092979913025471</v>
      </c>
      <c r="AB41" s="10">
        <f t="shared" si="109"/>
        <v>0.20869072451315829</v>
      </c>
      <c r="AC41" s="10">
        <f t="shared" si="109"/>
        <v>0.24153539539494714</v>
      </c>
      <c r="AD41" s="10">
        <f t="shared" si="109"/>
        <v>0.27233449390800962</v>
      </c>
      <c r="AE41" s="10">
        <f t="shared" si="109"/>
        <v>0.27699022053419364</v>
      </c>
      <c r="AF41" s="10">
        <f t="shared" si="109"/>
        <v>0.28087481191516805</v>
      </c>
      <c r="AG41" s="10">
        <f t="shared" si="109"/>
        <v>0.28290716704084629</v>
      </c>
      <c r="AH41" s="10">
        <f t="shared" si="109"/>
        <v>0.28534154011662427</v>
      </c>
      <c r="AI41" s="10">
        <f t="shared" si="109"/>
        <v>0.28713478647828139</v>
      </c>
      <c r="AJ41" s="10">
        <f t="shared" si="109"/>
        <v>0.28891585835844469</v>
      </c>
      <c r="AK41" s="10">
        <f t="shared" si="109"/>
        <v>0.29068522939877806</v>
      </c>
      <c r="AL41" s="10">
        <f t="shared" si="109"/>
        <v>0.29244339076576814</v>
      </c>
      <c r="AN41" t="s">
        <v>55</v>
      </c>
      <c r="AO41" s="3">
        <f>Main!D8</f>
        <v>93.9</v>
      </c>
    </row>
    <row r="42" spans="2:41" x14ac:dyDescent="0.3">
      <c r="B42" t="s">
        <v>42</v>
      </c>
      <c r="I42" s="10">
        <f t="shared" ref="I42:L42" si="110">I26/I25</f>
        <v>0.35616438356164393</v>
      </c>
      <c r="J42" s="10">
        <f t="shared" si="110"/>
        <v>-3.4825870646766191E-2</v>
      </c>
      <c r="K42" s="10">
        <f t="shared" si="110"/>
        <v>0.17741935483870977</v>
      </c>
      <c r="L42" s="10">
        <f t="shared" si="110"/>
        <v>7.4829931972789157E-2</v>
      </c>
      <c r="M42" s="10">
        <f>M26/M25</f>
        <v>1.1764705882352946E-2</v>
      </c>
      <c r="N42" s="10">
        <f t="shared" ref="N42:R42" si="111">N26/N25</f>
        <v>1.9178082191780819E-2</v>
      </c>
      <c r="O42" s="10">
        <f t="shared" si="111"/>
        <v>0.23711340206185566</v>
      </c>
      <c r="P42" s="10">
        <f t="shared" si="111"/>
        <v>0.12727272727272732</v>
      </c>
      <c r="Q42" s="10">
        <f t="shared" si="111"/>
        <v>0.20869565217391309</v>
      </c>
      <c r="R42" s="10">
        <f t="shared" si="111"/>
        <v>0.15634218289085558</v>
      </c>
      <c r="S42" s="10">
        <f t="shared" ref="S42:V42" si="112">S26/S25</f>
        <v>0.15</v>
      </c>
      <c r="T42" s="10">
        <f t="shared" si="112"/>
        <v>0.15</v>
      </c>
      <c r="U42" s="10">
        <f t="shared" si="112"/>
        <v>0.15</v>
      </c>
      <c r="V42" s="10">
        <f t="shared" si="112"/>
        <v>0.15</v>
      </c>
      <c r="X42" s="10">
        <f t="shared" ref="X42:AL42" si="113">X26/X25</f>
        <v>0</v>
      </c>
      <c r="Y42" s="10">
        <f t="shared" si="113"/>
        <v>0.3682008368200842</v>
      </c>
      <c r="Z42" s="10">
        <f t="shared" si="113"/>
        <v>4.1927409261576995E-2</v>
      </c>
      <c r="AA42" s="10">
        <f t="shared" si="113"/>
        <v>0.17802644964394712</v>
      </c>
      <c r="AB42" s="10">
        <f t="shared" si="113"/>
        <v>0.14999999999999988</v>
      </c>
      <c r="AC42" s="10">
        <f t="shared" si="113"/>
        <v>0.15</v>
      </c>
      <c r="AD42" s="10">
        <f t="shared" si="113"/>
        <v>0.15</v>
      </c>
      <c r="AE42" s="10">
        <f t="shared" si="113"/>
        <v>0.15</v>
      </c>
      <c r="AF42" s="10">
        <f t="shared" si="113"/>
        <v>0.15</v>
      </c>
      <c r="AG42" s="10">
        <f t="shared" si="113"/>
        <v>0.15</v>
      </c>
      <c r="AH42" s="10">
        <f t="shared" si="113"/>
        <v>0.15</v>
      </c>
      <c r="AI42" s="10">
        <f t="shared" si="113"/>
        <v>0.15</v>
      </c>
      <c r="AJ42" s="10">
        <f t="shared" si="113"/>
        <v>0.15</v>
      </c>
      <c r="AK42" s="10">
        <f t="shared" si="113"/>
        <v>0.15</v>
      </c>
      <c r="AL42" s="10">
        <f t="shared" si="113"/>
        <v>0.15</v>
      </c>
      <c r="AN42" t="s">
        <v>56</v>
      </c>
      <c r="AO42" s="3">
        <f>AO40+AO41</f>
        <v>1984.5041949476365</v>
      </c>
    </row>
    <row r="43" spans="2:41" x14ac:dyDescent="0.3">
      <c r="B43" t="s">
        <v>51</v>
      </c>
      <c r="I43" s="10">
        <f t="shared" ref="I43:L43" si="114">I27/I8</f>
        <v>0.11007025761124117</v>
      </c>
      <c r="J43" s="10">
        <f t="shared" si="114"/>
        <v>0.21576763485477166</v>
      </c>
      <c r="K43" s="10">
        <f t="shared" si="114"/>
        <v>0.17566016073478749</v>
      </c>
      <c r="L43" s="10">
        <f t="shared" si="114"/>
        <v>0.14422057264050897</v>
      </c>
      <c r="M43" s="10">
        <f>M27/M8</f>
        <v>0.16374269005847947</v>
      </c>
      <c r="N43" s="10">
        <f t="shared" ref="N43:R43" si="115">N27/N8</f>
        <v>0.94625550660792968</v>
      </c>
      <c r="O43" s="10">
        <f t="shared" si="115"/>
        <v>0.14495592556317335</v>
      </c>
      <c r="P43" s="10">
        <f t="shared" si="115"/>
        <v>0.17297297297297293</v>
      </c>
      <c r="Q43" s="10">
        <f t="shared" si="115"/>
        <v>0.14689265536723159</v>
      </c>
      <c r="R43" s="10">
        <f t="shared" si="115"/>
        <v>0.19602467443454402</v>
      </c>
      <c r="S43" s="10">
        <f t="shared" ref="S43:V43" si="116">S27/S8</f>
        <v>0.1911690123303027</v>
      </c>
      <c r="T43" s="10">
        <f t="shared" si="116"/>
        <v>0.18342438105289757</v>
      </c>
      <c r="U43" s="10">
        <f t="shared" si="116"/>
        <v>0.17546849285404933</v>
      </c>
      <c r="V43" s="10">
        <f t="shared" si="116"/>
        <v>0.18390753465229234</v>
      </c>
      <c r="X43" s="10">
        <f t="shared" ref="X43:AL43" si="117">X27/X8</f>
        <v>-0.1709741550695825</v>
      </c>
      <c r="Y43" s="10">
        <f t="shared" si="117"/>
        <v>4.5550527903468974E-2</v>
      </c>
      <c r="Z43" s="10">
        <f t="shared" si="117"/>
        <v>0.38515723270440239</v>
      </c>
      <c r="AA43" s="10">
        <f t="shared" si="117"/>
        <v>0.16732242700352037</v>
      </c>
      <c r="AB43" s="10">
        <f t="shared" si="117"/>
        <v>0.18325320003519666</v>
      </c>
      <c r="AC43" s="10">
        <f t="shared" si="117"/>
        <v>0.21050885051374429</v>
      </c>
      <c r="AD43" s="10">
        <f t="shared" si="117"/>
        <v>0.23629234207146213</v>
      </c>
      <c r="AE43" s="10">
        <f t="shared" si="117"/>
        <v>0.2400482463469597</v>
      </c>
      <c r="AF43" s="10">
        <f t="shared" si="117"/>
        <v>0.24319876394383705</v>
      </c>
      <c r="AG43" s="10">
        <f t="shared" si="117"/>
        <v>0.24482295284782757</v>
      </c>
      <c r="AH43" s="10">
        <f t="shared" si="117"/>
        <v>0.24683234793139969</v>
      </c>
      <c r="AI43" s="10">
        <f t="shared" si="117"/>
        <v>0.24831254028917776</v>
      </c>
      <c r="AJ43" s="10">
        <f t="shared" si="117"/>
        <v>0.24978268351212846</v>
      </c>
      <c r="AK43" s="10">
        <f t="shared" si="117"/>
        <v>0.25124316855644502</v>
      </c>
      <c r="AL43" s="10">
        <f t="shared" si="117"/>
        <v>0.25269440084376704</v>
      </c>
      <c r="AN43" t="s">
        <v>57</v>
      </c>
      <c r="AO43" s="2">
        <f>AO42/AL28</f>
        <v>22.423776214097586</v>
      </c>
    </row>
    <row r="44" spans="2:41" x14ac:dyDescent="0.3">
      <c r="AN44" t="s">
        <v>58</v>
      </c>
      <c r="AO44" s="2">
        <f>Main!D3</f>
        <v>15</v>
      </c>
    </row>
    <row r="45" spans="2:41" x14ac:dyDescent="0.3">
      <c r="AN45" s="1" t="s">
        <v>59</v>
      </c>
      <c r="AO45" s="9">
        <f>AO43/AO44-1</f>
        <v>0.4949184142731724</v>
      </c>
    </row>
    <row r="46" spans="2:41" s="1" customFormat="1" x14ac:dyDescent="0.3">
      <c r="B46" s="1" t="s">
        <v>45</v>
      </c>
      <c r="K46" s="8">
        <f t="shared" ref="K46:R46" si="118">K25</f>
        <v>18.599999999999991</v>
      </c>
      <c r="L46" s="8">
        <f t="shared" si="118"/>
        <v>14.699999999999992</v>
      </c>
      <c r="M46" s="8">
        <f t="shared" si="118"/>
        <v>16.999999999999993</v>
      </c>
      <c r="N46" s="8">
        <f t="shared" si="118"/>
        <v>109.50000000000001</v>
      </c>
      <c r="O46" s="8">
        <f t="shared" si="118"/>
        <v>19.399999999999999</v>
      </c>
      <c r="P46" s="8">
        <f t="shared" si="118"/>
        <v>21.999999999999993</v>
      </c>
      <c r="Q46" s="8">
        <f t="shared" si="118"/>
        <v>22.999999999999993</v>
      </c>
      <c r="R46" s="8">
        <f t="shared" si="118"/>
        <v>33.89999999999997</v>
      </c>
      <c r="Z46" s="8">
        <f>Z25</f>
        <v>159.79999999999993</v>
      </c>
      <c r="AA46" s="8">
        <f>AA25</f>
        <v>98.299999999999983</v>
      </c>
      <c r="AB46" s="8">
        <f t="shared" ref="AB46:AL46" si="119">AB25</f>
        <v>124.9577700000001</v>
      </c>
      <c r="AC46" s="8">
        <f t="shared" si="119"/>
        <v>163.43087159999985</v>
      </c>
      <c r="AD46" s="8">
        <f t="shared" si="119"/>
        <v>200.53303053199994</v>
      </c>
      <c r="AE46" s="8">
        <f t="shared" si="119"/>
        <v>214.75635415491999</v>
      </c>
      <c r="AF46" s="8">
        <f t="shared" si="119"/>
        <v>227.21771983961591</v>
      </c>
      <c r="AG46" s="8">
        <f t="shared" si="119"/>
        <v>236.50699508296859</v>
      </c>
      <c r="AH46" s="8">
        <f t="shared" si="119"/>
        <v>244.18932017054414</v>
      </c>
      <c r="AI46" s="8">
        <f t="shared" si="119"/>
        <v>250.68401245373673</v>
      </c>
      <c r="AJ46" s="8">
        <f t="shared" si="119"/>
        <v>257.34132762833491</v>
      </c>
      <c r="AK46" s="8">
        <f t="shared" si="119"/>
        <v>264.16650744131874</v>
      </c>
      <c r="AL46" s="8">
        <f t="shared" si="119"/>
        <v>271.16508456736869</v>
      </c>
      <c r="AN46" t="s">
        <v>60</v>
      </c>
      <c r="AO46" s="6" t="s">
        <v>68</v>
      </c>
    </row>
    <row r="47" spans="2:41" x14ac:dyDescent="0.3">
      <c r="B47" t="s">
        <v>72</v>
      </c>
      <c r="K47" s="3">
        <v>-4.8</v>
      </c>
      <c r="L47" s="3">
        <v>-2.2000000000000002</v>
      </c>
      <c r="M47" s="3">
        <v>-1</v>
      </c>
      <c r="N47" s="3">
        <v>0.7</v>
      </c>
      <c r="O47" s="3">
        <v>0.1</v>
      </c>
      <c r="P47" s="3">
        <v>-0.2</v>
      </c>
      <c r="Q47" s="3">
        <v>0.4</v>
      </c>
      <c r="R47" s="3">
        <v>-1.5</v>
      </c>
      <c r="Z47" s="3">
        <f>SUM(K47:N47)</f>
        <v>-7.3</v>
      </c>
      <c r="AA47" s="3">
        <f>SUM(O47:R47)</f>
        <v>-1.2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</row>
    <row r="48" spans="2:41" x14ac:dyDescent="0.3">
      <c r="B48" t="s">
        <v>73</v>
      </c>
      <c r="K48" s="3"/>
      <c r="L48" s="3"/>
      <c r="M48" s="3"/>
      <c r="N48" s="3">
        <v>-89.8</v>
      </c>
      <c r="O48" s="3"/>
      <c r="P48" s="3"/>
      <c r="Q48" s="3"/>
      <c r="R48" s="3">
        <v>-5</v>
      </c>
      <c r="Z48" s="3">
        <f t="shared" ref="Z48:Z59" si="120">SUM(K48:N48)</f>
        <v>-89.8</v>
      </c>
      <c r="AA48" s="3">
        <f t="shared" ref="AA48:AA59" si="121">SUM(O48:R48)</f>
        <v>-5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</row>
    <row r="49" spans="2:38" x14ac:dyDescent="0.3">
      <c r="B49" t="s">
        <v>74</v>
      </c>
      <c r="K49" s="3"/>
      <c r="L49" s="3"/>
      <c r="M49" s="3"/>
      <c r="N49" s="3">
        <v>0</v>
      </c>
      <c r="O49" s="3"/>
      <c r="P49" s="3"/>
      <c r="Q49" s="3"/>
      <c r="R49" s="3">
        <v>0</v>
      </c>
      <c r="Z49" s="3">
        <f t="shared" si="120"/>
        <v>0</v>
      </c>
      <c r="AA49" s="3">
        <f t="shared" si="121"/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</row>
    <row r="50" spans="2:38" x14ac:dyDescent="0.3">
      <c r="B50" t="s">
        <v>75</v>
      </c>
      <c r="K50" s="3"/>
      <c r="L50" s="3"/>
      <c r="M50" s="3">
        <v>0.6</v>
      </c>
      <c r="N50" s="3">
        <v>0.1</v>
      </c>
      <c r="O50" s="3"/>
      <c r="P50" s="3"/>
      <c r="Q50" s="3">
        <v>0</v>
      </c>
      <c r="R50" s="3">
        <v>0.1</v>
      </c>
      <c r="Z50" s="3">
        <f t="shared" si="120"/>
        <v>0.7</v>
      </c>
      <c r="AA50" s="3">
        <f t="shared" si="121"/>
        <v>0.1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</row>
    <row r="51" spans="2:38" x14ac:dyDescent="0.3">
      <c r="B51" t="s">
        <v>33</v>
      </c>
      <c r="K51" s="3">
        <v>3.4</v>
      </c>
      <c r="L51" s="3">
        <v>3.4</v>
      </c>
      <c r="M51" s="3">
        <v>3.2</v>
      </c>
      <c r="N51" s="3">
        <v>3.2</v>
      </c>
      <c r="O51" s="3">
        <v>3.1</v>
      </c>
      <c r="P51" s="3">
        <v>4</v>
      </c>
      <c r="Q51" s="3">
        <v>4.0999999999999996</v>
      </c>
      <c r="R51" s="3">
        <v>4.4000000000000004</v>
      </c>
      <c r="Z51" s="3">
        <f t="shared" si="120"/>
        <v>13.2</v>
      </c>
      <c r="AA51" s="3">
        <f t="shared" si="121"/>
        <v>15.6</v>
      </c>
      <c r="AB51" s="3">
        <f>AA51*1.02</f>
        <v>15.911999999999999</v>
      </c>
      <c r="AC51" s="3">
        <f t="shared" ref="AC51:AL51" si="122">AB51*1.02</f>
        <v>16.230239999999998</v>
      </c>
      <c r="AD51" s="3">
        <f t="shared" si="122"/>
        <v>16.554844799999998</v>
      </c>
      <c r="AE51" s="3">
        <f t="shared" si="122"/>
        <v>16.885941696</v>
      </c>
      <c r="AF51" s="3">
        <f t="shared" si="122"/>
        <v>17.22366052992</v>
      </c>
      <c r="AG51" s="3">
        <f t="shared" si="122"/>
        <v>17.568133740518402</v>
      </c>
      <c r="AH51" s="3">
        <f t="shared" si="122"/>
        <v>17.919496415328769</v>
      </c>
      <c r="AI51" s="3">
        <f t="shared" si="122"/>
        <v>18.277886343635345</v>
      </c>
      <c r="AJ51" s="3">
        <f t="shared" si="122"/>
        <v>18.643444070508053</v>
      </c>
      <c r="AK51" s="3">
        <f t="shared" si="122"/>
        <v>19.016312951918216</v>
      </c>
      <c r="AL51" s="3">
        <f t="shared" si="122"/>
        <v>19.396639210956582</v>
      </c>
    </row>
    <row r="52" spans="2:38" x14ac:dyDescent="0.3">
      <c r="B52" t="s">
        <v>76</v>
      </c>
      <c r="K52" s="3">
        <v>3.4</v>
      </c>
      <c r="L52" s="3">
        <v>3.7</v>
      </c>
      <c r="M52" s="3">
        <v>3.8</v>
      </c>
      <c r="N52" s="3">
        <v>3.9</v>
      </c>
      <c r="O52" s="3">
        <v>2.2000000000000002</v>
      </c>
      <c r="P52" s="3">
        <v>2.1</v>
      </c>
      <c r="Q52" s="3">
        <v>3.6</v>
      </c>
      <c r="R52" s="3">
        <v>0.9</v>
      </c>
      <c r="Z52" s="3">
        <f t="shared" si="120"/>
        <v>14.799999999999999</v>
      </c>
      <c r="AA52" s="3">
        <f t="shared" si="121"/>
        <v>8.8000000000000007</v>
      </c>
      <c r="AB52" s="3">
        <f>AA52*0.8</f>
        <v>7.0400000000000009</v>
      </c>
      <c r="AC52" s="3">
        <f t="shared" ref="AC52:AL52" si="123">AB52*0.8</f>
        <v>5.6320000000000014</v>
      </c>
      <c r="AD52" s="3">
        <f t="shared" si="123"/>
        <v>4.5056000000000012</v>
      </c>
      <c r="AE52" s="3">
        <f t="shared" si="123"/>
        <v>3.604480000000001</v>
      </c>
      <c r="AF52" s="3">
        <f t="shared" si="123"/>
        <v>2.8835840000000008</v>
      </c>
      <c r="AG52" s="3">
        <f t="shared" si="123"/>
        <v>2.3068672000000006</v>
      </c>
      <c r="AH52" s="3">
        <f t="shared" si="123"/>
        <v>1.8454937600000005</v>
      </c>
      <c r="AI52" s="3">
        <f t="shared" si="123"/>
        <v>1.4763950080000006</v>
      </c>
      <c r="AJ52" s="3">
        <f t="shared" si="123"/>
        <v>1.1811160064000006</v>
      </c>
      <c r="AK52" s="3">
        <f t="shared" si="123"/>
        <v>0.94489280512000051</v>
      </c>
      <c r="AL52" s="3">
        <f t="shared" si="123"/>
        <v>0.7559142440960005</v>
      </c>
    </row>
    <row r="53" spans="2:38" x14ac:dyDescent="0.3">
      <c r="B53" t="s">
        <v>77</v>
      </c>
      <c r="K53" s="3">
        <v>-0.3</v>
      </c>
      <c r="L53" s="3">
        <v>0.5</v>
      </c>
      <c r="M53" s="3">
        <v>-0.3</v>
      </c>
      <c r="N53" s="3">
        <v>-0.2</v>
      </c>
      <c r="O53" s="3">
        <v>-0.6</v>
      </c>
      <c r="P53" s="3">
        <v>1.2</v>
      </c>
      <c r="Q53" s="3">
        <v>-0.3</v>
      </c>
      <c r="R53" s="3">
        <v>-0.4</v>
      </c>
      <c r="Z53" s="3">
        <f t="shared" si="120"/>
        <v>-0.3</v>
      </c>
      <c r="AA53" s="3">
        <f t="shared" si="121"/>
        <v>-0.10000000000000003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</row>
    <row r="54" spans="2:38" x14ac:dyDescent="0.3">
      <c r="B54" t="s">
        <v>78</v>
      </c>
      <c r="K54" s="3">
        <v>6.3</v>
      </c>
      <c r="L54" s="3">
        <v>-3.9</v>
      </c>
      <c r="M54" s="3">
        <v>-5.0999999999999996</v>
      </c>
      <c r="N54" s="3">
        <v>-14.9</v>
      </c>
      <c r="O54" s="3">
        <v>8.3000000000000007</v>
      </c>
      <c r="P54" s="3">
        <v>-1.8</v>
      </c>
      <c r="Q54" s="3">
        <v>-8.5</v>
      </c>
      <c r="R54" s="3">
        <v>-18.2</v>
      </c>
      <c r="Z54" s="3">
        <f t="shared" si="120"/>
        <v>-17.600000000000001</v>
      </c>
      <c r="AA54" s="3">
        <f t="shared" si="121"/>
        <v>-20.2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</row>
    <row r="55" spans="2:38" x14ac:dyDescent="0.3">
      <c r="B55" t="s">
        <v>79</v>
      </c>
      <c r="K55" s="3">
        <v>-0.5</v>
      </c>
      <c r="L55" s="3">
        <v>-0.4</v>
      </c>
      <c r="M55" s="3">
        <v>-1.3</v>
      </c>
      <c r="N55" s="3">
        <v>1.2</v>
      </c>
      <c r="O55" s="3">
        <v>0.1</v>
      </c>
      <c r="P55" s="3">
        <v>1.2</v>
      </c>
      <c r="Q55" s="3">
        <v>-0.1</v>
      </c>
      <c r="R55" s="3">
        <v>-3</v>
      </c>
      <c r="Z55" s="3">
        <f t="shared" si="120"/>
        <v>-1.0000000000000002</v>
      </c>
      <c r="AA55" s="3">
        <f t="shared" si="121"/>
        <v>-1.8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</row>
    <row r="56" spans="2:38" x14ac:dyDescent="0.3">
      <c r="B56" t="s">
        <v>80</v>
      </c>
      <c r="K56" s="3">
        <v>-4.0999999999999996</v>
      </c>
      <c r="L56" s="3">
        <v>4.4000000000000004</v>
      </c>
      <c r="M56" s="3">
        <v>-0.4</v>
      </c>
      <c r="N56" s="3">
        <v>5.4</v>
      </c>
      <c r="O56" s="3">
        <v>0.5</v>
      </c>
      <c r="P56" s="3">
        <v>0.3</v>
      </c>
      <c r="Q56" s="3">
        <v>10.7</v>
      </c>
      <c r="R56" s="3">
        <v>11.6</v>
      </c>
      <c r="Z56" s="3">
        <f t="shared" si="120"/>
        <v>5.3000000000000007</v>
      </c>
      <c r="AA56" s="3">
        <f t="shared" si="121"/>
        <v>23.1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</row>
    <row r="57" spans="2:38" x14ac:dyDescent="0.3">
      <c r="B57" t="s">
        <v>81</v>
      </c>
      <c r="K57" s="3">
        <v>6</v>
      </c>
      <c r="L57" s="3">
        <v>-2.1</v>
      </c>
      <c r="M57" s="3">
        <v>-1.7</v>
      </c>
      <c r="N57" s="3">
        <v>7.1</v>
      </c>
      <c r="O57" s="3">
        <v>-2.6</v>
      </c>
      <c r="P57" s="3">
        <v>-2.6</v>
      </c>
      <c r="Q57" s="3">
        <v>-1.7</v>
      </c>
      <c r="R57" s="3">
        <v>2</v>
      </c>
      <c r="Z57" s="3">
        <f t="shared" si="120"/>
        <v>9.3000000000000007</v>
      </c>
      <c r="AA57" s="3">
        <f t="shared" si="121"/>
        <v>-4.9000000000000004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</row>
    <row r="58" spans="2:38" x14ac:dyDescent="0.3">
      <c r="B58" t="s">
        <v>82</v>
      </c>
      <c r="K58" s="3">
        <v>-2.2999999999999998</v>
      </c>
      <c r="L58" s="3">
        <v>0.7</v>
      </c>
      <c r="M58" s="3">
        <v>1.8</v>
      </c>
      <c r="N58" s="3">
        <v>1</v>
      </c>
      <c r="O58" s="3">
        <v>0.7</v>
      </c>
      <c r="P58" s="3">
        <v>-4.9000000000000004</v>
      </c>
      <c r="Q58" s="3">
        <v>4</v>
      </c>
      <c r="R58" s="3">
        <v>0.1</v>
      </c>
      <c r="Z58" s="3">
        <f t="shared" si="120"/>
        <v>1.2000000000000002</v>
      </c>
      <c r="AA58" s="3">
        <f t="shared" si="121"/>
        <v>-0.10000000000000017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</row>
    <row r="59" spans="2:38" x14ac:dyDescent="0.3">
      <c r="B59" t="s">
        <v>42</v>
      </c>
      <c r="K59" s="3">
        <v>-0.2</v>
      </c>
      <c r="L59" s="3">
        <v>-3.4</v>
      </c>
      <c r="M59" s="3">
        <v>-0.5</v>
      </c>
      <c r="N59" s="3">
        <v>-1.9</v>
      </c>
      <c r="O59" s="3">
        <v>-0.2</v>
      </c>
      <c r="P59" s="3">
        <v>-4</v>
      </c>
      <c r="Q59" s="3">
        <v>-0.1</v>
      </c>
      <c r="R59" s="3">
        <v>-3.4</v>
      </c>
      <c r="Z59" s="3">
        <f t="shared" si="120"/>
        <v>-6</v>
      </c>
      <c r="AA59" s="3">
        <f t="shared" si="121"/>
        <v>-7.6999999999999993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</row>
    <row r="60" spans="2:38" s="1" customFormat="1" x14ac:dyDescent="0.3">
      <c r="B60" s="1" t="s">
        <v>83</v>
      </c>
      <c r="K60" s="8">
        <f t="shared" ref="K60:R60" si="124">K46+SUM(K47:K59)</f>
        <v>25.499999999999993</v>
      </c>
      <c r="L60" s="8">
        <f t="shared" si="124"/>
        <v>15.399999999999993</v>
      </c>
      <c r="M60" s="8">
        <f t="shared" si="124"/>
        <v>16.099999999999994</v>
      </c>
      <c r="N60" s="8">
        <f t="shared" si="124"/>
        <v>25.300000000000011</v>
      </c>
      <c r="O60" s="8">
        <f t="shared" si="124"/>
        <v>31</v>
      </c>
      <c r="P60" s="8">
        <f t="shared" si="124"/>
        <v>17.299999999999994</v>
      </c>
      <c r="Q60" s="8">
        <f t="shared" si="124"/>
        <v>35.099999999999994</v>
      </c>
      <c r="R60" s="8">
        <f t="shared" si="124"/>
        <v>21.499999999999972</v>
      </c>
      <c r="Z60" s="8">
        <f>Z46+SUM(Z47:Z59)</f>
        <v>82.29999999999994</v>
      </c>
      <c r="AA60" s="8">
        <f>AA46+SUM(AA47:AA59)</f>
        <v>104.89999999999998</v>
      </c>
      <c r="AB60" s="8">
        <f t="shared" ref="AB60:AL60" si="125">AB46+SUM(AB47:AB59)</f>
        <v>147.90977000000009</v>
      </c>
      <c r="AC60" s="8">
        <f t="shared" si="125"/>
        <v>185.29311159999986</v>
      </c>
      <c r="AD60" s="8">
        <f t="shared" si="125"/>
        <v>221.59347533199994</v>
      </c>
      <c r="AE60" s="8">
        <f t="shared" si="125"/>
        <v>235.24677585091999</v>
      </c>
      <c r="AF60" s="8">
        <f t="shared" si="125"/>
        <v>247.32496436953591</v>
      </c>
      <c r="AG60" s="8">
        <f t="shared" si="125"/>
        <v>256.38199602348698</v>
      </c>
      <c r="AH60" s="8">
        <f t="shared" si="125"/>
        <v>263.9543103458729</v>
      </c>
      <c r="AI60" s="8">
        <f t="shared" si="125"/>
        <v>270.4382938053721</v>
      </c>
      <c r="AJ60" s="8">
        <f t="shared" si="125"/>
        <v>277.16588770524294</v>
      </c>
      <c r="AK60" s="8">
        <f t="shared" si="125"/>
        <v>284.12771319835696</v>
      </c>
      <c r="AL60" s="8">
        <f t="shared" si="125"/>
        <v>291.31763802242131</v>
      </c>
    </row>
    <row r="61" spans="2:38" x14ac:dyDescent="0.3">
      <c r="B61" t="s">
        <v>84</v>
      </c>
      <c r="K61" s="3">
        <v>0.3</v>
      </c>
      <c r="L61" s="3">
        <v>0.2</v>
      </c>
      <c r="M61" s="3">
        <v>0.7</v>
      </c>
      <c r="N61" s="3">
        <v>0.6</v>
      </c>
      <c r="O61" s="3">
        <v>20.2</v>
      </c>
      <c r="P61" s="3">
        <v>1.2</v>
      </c>
      <c r="Q61" s="3">
        <v>1.8</v>
      </c>
      <c r="R61" s="3">
        <v>0</v>
      </c>
      <c r="Z61" s="3">
        <f t="shared" ref="Z61:Z63" si="126">SUM(K61:N61)</f>
        <v>1.7999999999999998</v>
      </c>
      <c r="AA61" s="3">
        <f t="shared" ref="AA61:AA63" si="127">SUM(O61:R61)</f>
        <v>23.2</v>
      </c>
      <c r="AB61" s="3">
        <v>5</v>
      </c>
      <c r="AC61" s="3">
        <f>AB61*1.03</f>
        <v>5.15</v>
      </c>
      <c r="AD61" s="3">
        <f t="shared" ref="AD61:AL61" si="128">AC61*1.03</f>
        <v>5.3045000000000009</v>
      </c>
      <c r="AE61" s="3">
        <f t="shared" si="128"/>
        <v>5.4636350000000009</v>
      </c>
      <c r="AF61" s="3">
        <f t="shared" si="128"/>
        <v>5.6275440500000009</v>
      </c>
      <c r="AG61" s="3">
        <f t="shared" si="128"/>
        <v>5.796370371500001</v>
      </c>
      <c r="AH61" s="3">
        <f t="shared" si="128"/>
        <v>5.9702614826450011</v>
      </c>
      <c r="AI61" s="3">
        <f t="shared" si="128"/>
        <v>6.1493693271243517</v>
      </c>
      <c r="AJ61" s="3">
        <f t="shared" si="128"/>
        <v>6.3338504069380823</v>
      </c>
      <c r="AK61" s="3">
        <f t="shared" si="128"/>
        <v>6.5238659191462247</v>
      </c>
      <c r="AL61" s="3">
        <f t="shared" si="128"/>
        <v>6.7195818967206113</v>
      </c>
    </row>
    <row r="62" spans="2:38" x14ac:dyDescent="0.3">
      <c r="B62" t="s">
        <v>85</v>
      </c>
      <c r="K62" s="3">
        <v>0</v>
      </c>
      <c r="L62" s="3">
        <v>0</v>
      </c>
      <c r="M62" s="3">
        <v>0</v>
      </c>
      <c r="N62" s="3">
        <v>0.3</v>
      </c>
      <c r="O62" s="3">
        <v>0</v>
      </c>
      <c r="P62" s="3">
        <v>0</v>
      </c>
      <c r="Q62" s="3">
        <v>0</v>
      </c>
      <c r="R62" s="3">
        <v>0</v>
      </c>
      <c r="Z62" s="3">
        <f t="shared" si="126"/>
        <v>0.3</v>
      </c>
      <c r="AA62" s="3">
        <f t="shared" si="127"/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</row>
    <row r="63" spans="2:38" x14ac:dyDescent="0.3">
      <c r="B63" t="s">
        <v>87</v>
      </c>
      <c r="K63" s="3">
        <v>1.1000000000000001</v>
      </c>
      <c r="L63" s="3">
        <v>1</v>
      </c>
      <c r="M63" s="3">
        <v>1.2</v>
      </c>
      <c r="N63" s="3">
        <v>1</v>
      </c>
      <c r="O63" s="3">
        <v>1.4</v>
      </c>
      <c r="P63" s="3">
        <v>1.7</v>
      </c>
      <c r="Q63" s="3">
        <v>2.2999999999999998</v>
      </c>
      <c r="R63" s="3">
        <v>1.9</v>
      </c>
      <c r="Z63" s="3">
        <f t="shared" si="126"/>
        <v>4.3</v>
      </c>
      <c r="AA63" s="3">
        <f t="shared" si="127"/>
        <v>7.2999999999999989</v>
      </c>
      <c r="AB63" s="3">
        <f>AA63*1.5</f>
        <v>10.95</v>
      </c>
      <c r="AC63" s="3">
        <f>AB63*1.25</f>
        <v>13.6875</v>
      </c>
      <c r="AD63" s="3">
        <f t="shared" ref="AD63" si="129">AC63*1.2</f>
        <v>16.425000000000001</v>
      </c>
      <c r="AE63" s="3">
        <f>AD63*1.1</f>
        <v>18.067500000000003</v>
      </c>
      <c r="AF63" s="3">
        <f>AE63*1.05</f>
        <v>18.970875000000003</v>
      </c>
      <c r="AG63" s="3">
        <f t="shared" ref="AG63:AL63" si="130">AF63*1.05</f>
        <v>19.919418750000006</v>
      </c>
      <c r="AH63" s="3">
        <f t="shared" si="130"/>
        <v>20.915389687500006</v>
      </c>
      <c r="AI63" s="3">
        <f t="shared" si="130"/>
        <v>21.961159171875007</v>
      </c>
      <c r="AJ63" s="3">
        <f t="shared" si="130"/>
        <v>23.05921713046876</v>
      </c>
      <c r="AK63" s="3">
        <f t="shared" si="130"/>
        <v>24.212177986992199</v>
      </c>
      <c r="AL63" s="3">
        <f t="shared" si="130"/>
        <v>25.422786886341811</v>
      </c>
    </row>
    <row r="64" spans="2:38" x14ac:dyDescent="0.3">
      <c r="B64" t="s">
        <v>88</v>
      </c>
      <c r="K64" s="3">
        <f t="shared" ref="K64:R64" si="131">SUM(K61:K63)</f>
        <v>1.4000000000000001</v>
      </c>
      <c r="L64" s="3">
        <f t="shared" si="131"/>
        <v>1.2</v>
      </c>
      <c r="M64" s="3">
        <f t="shared" si="131"/>
        <v>1.9</v>
      </c>
      <c r="N64" s="3">
        <f t="shared" si="131"/>
        <v>1.9</v>
      </c>
      <c r="O64" s="3">
        <f t="shared" si="131"/>
        <v>21.599999999999998</v>
      </c>
      <c r="P64" s="3">
        <f t="shared" si="131"/>
        <v>2.9</v>
      </c>
      <c r="Q64" s="3">
        <f t="shared" si="131"/>
        <v>4.0999999999999996</v>
      </c>
      <c r="R64" s="3">
        <f t="shared" si="131"/>
        <v>1.9</v>
      </c>
      <c r="Z64" s="3">
        <f>SUM(Z61:Z63)</f>
        <v>6.3999999999999995</v>
      </c>
      <c r="AA64" s="3">
        <f>SUM(AA61:AA63)</f>
        <v>30.5</v>
      </c>
      <c r="AB64" s="3">
        <f t="shared" ref="AB64:AL64" si="132">SUM(AB61:AB63)</f>
        <v>15.95</v>
      </c>
      <c r="AC64" s="3">
        <f t="shared" si="132"/>
        <v>18.837499999999999</v>
      </c>
      <c r="AD64" s="3">
        <f t="shared" si="132"/>
        <v>21.729500000000002</v>
      </c>
      <c r="AE64" s="3">
        <f t="shared" si="132"/>
        <v>23.531135000000003</v>
      </c>
      <c r="AF64" s="3">
        <f t="shared" si="132"/>
        <v>24.598419050000004</v>
      </c>
      <c r="AG64" s="3">
        <f t="shared" si="132"/>
        <v>25.715789121500006</v>
      </c>
      <c r="AH64" s="3">
        <f t="shared" si="132"/>
        <v>26.885651170145007</v>
      </c>
      <c r="AI64" s="3">
        <f t="shared" si="132"/>
        <v>28.110528498999358</v>
      </c>
      <c r="AJ64" s="3">
        <f t="shared" si="132"/>
        <v>29.393067537406843</v>
      </c>
      <c r="AK64" s="3">
        <f t="shared" si="132"/>
        <v>30.736043906138423</v>
      </c>
      <c r="AL64" s="3">
        <f t="shared" si="132"/>
        <v>32.142368783062423</v>
      </c>
    </row>
    <row r="65" spans="2:140" s="1" customFormat="1" x14ac:dyDescent="0.3">
      <c r="B65" s="1" t="s">
        <v>86</v>
      </c>
      <c r="K65" s="8">
        <f t="shared" ref="K65:R65" si="133">K60-K64</f>
        <v>24.099999999999994</v>
      </c>
      <c r="L65" s="8">
        <f t="shared" si="133"/>
        <v>14.199999999999994</v>
      </c>
      <c r="M65" s="8">
        <f t="shared" si="133"/>
        <v>14.199999999999994</v>
      </c>
      <c r="N65" s="8">
        <f t="shared" si="133"/>
        <v>23.400000000000013</v>
      </c>
      <c r="O65" s="8">
        <f t="shared" si="133"/>
        <v>9.4000000000000021</v>
      </c>
      <c r="P65" s="8">
        <f t="shared" si="133"/>
        <v>14.399999999999993</v>
      </c>
      <c r="Q65" s="8">
        <f t="shared" si="133"/>
        <v>30.999999999999993</v>
      </c>
      <c r="R65" s="8">
        <f t="shared" si="133"/>
        <v>19.599999999999973</v>
      </c>
      <c r="Z65" s="8">
        <f>Z60-Z64</f>
        <v>75.899999999999935</v>
      </c>
      <c r="AA65" s="8">
        <f>AA60-AA64</f>
        <v>74.399999999999977</v>
      </c>
      <c r="AB65" s="8">
        <f t="shared" ref="AB65:AL65" si="134">AB60-AB64</f>
        <v>131.95977000000011</v>
      </c>
      <c r="AC65" s="8">
        <f t="shared" si="134"/>
        <v>166.45561159999986</v>
      </c>
      <c r="AD65" s="8">
        <f t="shared" si="134"/>
        <v>199.86397533199994</v>
      </c>
      <c r="AE65" s="8">
        <f t="shared" si="134"/>
        <v>211.71564085091998</v>
      </c>
      <c r="AF65" s="8">
        <f t="shared" si="134"/>
        <v>222.72654531953589</v>
      </c>
      <c r="AG65" s="8">
        <f t="shared" si="134"/>
        <v>230.66620690198698</v>
      </c>
      <c r="AH65" s="8">
        <f t="shared" si="134"/>
        <v>237.0686591757279</v>
      </c>
      <c r="AI65" s="8">
        <f t="shared" si="134"/>
        <v>242.32776530637273</v>
      </c>
      <c r="AJ65" s="8">
        <f t="shared" si="134"/>
        <v>247.7728201678361</v>
      </c>
      <c r="AK65" s="8">
        <f t="shared" si="134"/>
        <v>253.39166929221852</v>
      </c>
      <c r="AL65" s="8">
        <f t="shared" si="134"/>
        <v>259.1752692393589</v>
      </c>
      <c r="AM65" s="1">
        <f>AL65*(1+$AO$38)</f>
        <v>256.58351654696531</v>
      </c>
      <c r="AN65" s="1">
        <f t="shared" ref="AN65:CY65" si="135">AM65*(1+$AO$38)</f>
        <v>254.01768138149566</v>
      </c>
      <c r="AO65" s="1">
        <f t="shared" si="135"/>
        <v>251.47750456768071</v>
      </c>
      <c r="AP65" s="1">
        <f t="shared" si="135"/>
        <v>248.96272952200391</v>
      </c>
      <c r="AQ65" s="1">
        <f t="shared" si="135"/>
        <v>246.47310222678388</v>
      </c>
      <c r="AR65" s="1">
        <f t="shared" si="135"/>
        <v>244.00837120451604</v>
      </c>
      <c r="AS65" s="1">
        <f t="shared" si="135"/>
        <v>241.56828749247089</v>
      </c>
      <c r="AT65" s="1">
        <f t="shared" si="135"/>
        <v>239.15260461754619</v>
      </c>
      <c r="AU65" s="1">
        <f t="shared" si="135"/>
        <v>236.76107857137072</v>
      </c>
      <c r="AV65" s="1">
        <f t="shared" si="135"/>
        <v>234.39346778565701</v>
      </c>
      <c r="AW65" s="1">
        <f t="shared" si="135"/>
        <v>232.04953310780044</v>
      </c>
      <c r="AX65" s="1">
        <f t="shared" si="135"/>
        <v>229.72903777672244</v>
      </c>
      <c r="AY65" s="1">
        <f t="shared" si="135"/>
        <v>227.4317473989552</v>
      </c>
      <c r="AZ65" s="1">
        <f t="shared" si="135"/>
        <v>225.15742992496564</v>
      </c>
      <c r="BA65" s="1">
        <f t="shared" si="135"/>
        <v>222.90585562571599</v>
      </c>
      <c r="BB65" s="1">
        <f t="shared" si="135"/>
        <v>220.67679706945881</v>
      </c>
      <c r="BC65" s="1">
        <f t="shared" si="135"/>
        <v>218.47002909876423</v>
      </c>
      <c r="BD65" s="1">
        <f t="shared" si="135"/>
        <v>216.28532880777658</v>
      </c>
      <c r="BE65" s="1">
        <f t="shared" si="135"/>
        <v>214.12247551969881</v>
      </c>
      <c r="BF65" s="1">
        <f t="shared" si="135"/>
        <v>211.98125076450182</v>
      </c>
      <c r="BG65" s="1">
        <f t="shared" si="135"/>
        <v>209.86143825685681</v>
      </c>
      <c r="BH65" s="1">
        <f t="shared" si="135"/>
        <v>207.76282387428824</v>
      </c>
      <c r="BI65" s="1">
        <f t="shared" si="135"/>
        <v>205.68519563554537</v>
      </c>
      <c r="BJ65" s="1">
        <f t="shared" si="135"/>
        <v>203.62834367918992</v>
      </c>
      <c r="BK65" s="1">
        <f t="shared" si="135"/>
        <v>201.59206024239802</v>
      </c>
      <c r="BL65" s="1">
        <f t="shared" si="135"/>
        <v>199.57613963997403</v>
      </c>
      <c r="BM65" s="1">
        <f t="shared" si="135"/>
        <v>197.5803782435743</v>
      </c>
      <c r="BN65" s="1">
        <f t="shared" si="135"/>
        <v>195.60457446113855</v>
      </c>
      <c r="BO65" s="1">
        <f t="shared" si="135"/>
        <v>193.64852871652715</v>
      </c>
      <c r="BP65" s="1">
        <f t="shared" si="135"/>
        <v>191.71204342936187</v>
      </c>
      <c r="BQ65" s="1">
        <f t="shared" si="135"/>
        <v>189.79492299506825</v>
      </c>
      <c r="BR65" s="1">
        <f t="shared" si="135"/>
        <v>187.89697376511756</v>
      </c>
      <c r="BS65" s="1">
        <f t="shared" si="135"/>
        <v>186.01800402746639</v>
      </c>
      <c r="BT65" s="1">
        <f t="shared" si="135"/>
        <v>184.15782398719173</v>
      </c>
      <c r="BU65" s="1">
        <f t="shared" si="135"/>
        <v>182.31624574731981</v>
      </c>
      <c r="BV65" s="1">
        <f t="shared" si="135"/>
        <v>180.49308328984662</v>
      </c>
      <c r="BW65" s="1">
        <f t="shared" si="135"/>
        <v>178.68815245694816</v>
      </c>
      <c r="BX65" s="1">
        <f t="shared" si="135"/>
        <v>176.90127093237868</v>
      </c>
      <c r="BY65" s="1">
        <f t="shared" si="135"/>
        <v>175.13225822305489</v>
      </c>
      <c r="BZ65" s="1">
        <f t="shared" si="135"/>
        <v>173.38093564082433</v>
      </c>
      <c r="CA65" s="1">
        <f t="shared" si="135"/>
        <v>171.64712628441609</v>
      </c>
      <c r="CB65" s="1">
        <f t="shared" si="135"/>
        <v>169.93065502157194</v>
      </c>
      <c r="CC65" s="1">
        <f t="shared" si="135"/>
        <v>168.23134847135623</v>
      </c>
      <c r="CD65" s="1">
        <f t="shared" si="135"/>
        <v>166.54903498664265</v>
      </c>
      <c r="CE65" s="1">
        <f t="shared" si="135"/>
        <v>164.88354463677624</v>
      </c>
      <c r="CF65" s="1">
        <f t="shared" si="135"/>
        <v>163.23470919040847</v>
      </c>
      <c r="CG65" s="1">
        <f t="shared" si="135"/>
        <v>161.60236209850439</v>
      </c>
      <c r="CH65" s="1">
        <f t="shared" si="135"/>
        <v>159.98633847751935</v>
      </c>
      <c r="CI65" s="1">
        <f t="shared" si="135"/>
        <v>158.38647509274415</v>
      </c>
      <c r="CJ65" s="1">
        <f t="shared" si="135"/>
        <v>156.80261034181672</v>
      </c>
      <c r="CK65" s="1">
        <f t="shared" si="135"/>
        <v>155.23458423839855</v>
      </c>
      <c r="CL65" s="1">
        <f t="shared" si="135"/>
        <v>153.68223839601455</v>
      </c>
      <c r="CM65" s="1">
        <f t="shared" si="135"/>
        <v>152.1454160120544</v>
      </c>
      <c r="CN65" s="1">
        <f t="shared" si="135"/>
        <v>150.62396185193384</v>
      </c>
      <c r="CO65" s="1">
        <f t="shared" si="135"/>
        <v>149.1177222334145</v>
      </c>
      <c r="CP65" s="1">
        <f t="shared" si="135"/>
        <v>147.62654501108034</v>
      </c>
      <c r="CQ65" s="1">
        <f t="shared" si="135"/>
        <v>146.15027956096952</v>
      </c>
      <c r="CR65" s="1">
        <f t="shared" si="135"/>
        <v>144.68877676535982</v>
      </c>
      <c r="CS65" s="1">
        <f t="shared" si="135"/>
        <v>143.24188899770621</v>
      </c>
      <c r="CT65" s="1">
        <f t="shared" si="135"/>
        <v>141.80947010772914</v>
      </c>
      <c r="CU65" s="1">
        <f t="shared" si="135"/>
        <v>140.39137540665186</v>
      </c>
      <c r="CV65" s="1">
        <f t="shared" si="135"/>
        <v>138.98746165258535</v>
      </c>
      <c r="CW65" s="1">
        <f t="shared" si="135"/>
        <v>137.59758703605951</v>
      </c>
      <c r="CX65" s="1">
        <f t="shared" si="135"/>
        <v>136.2216111656989</v>
      </c>
      <c r="CY65" s="1">
        <f t="shared" si="135"/>
        <v>134.85939505404193</v>
      </c>
      <c r="CZ65" s="1">
        <f t="shared" ref="CZ65:EJ65" si="136">CY65*(1+$AO$38)</f>
        <v>133.51080110350151</v>
      </c>
      <c r="DA65" s="1">
        <f t="shared" si="136"/>
        <v>132.1756930924665</v>
      </c>
      <c r="DB65" s="1">
        <f t="shared" si="136"/>
        <v>130.85393616154184</v>
      </c>
      <c r="DC65" s="1">
        <f t="shared" si="136"/>
        <v>129.54539679992641</v>
      </c>
      <c r="DD65" s="1">
        <f t="shared" si="136"/>
        <v>128.24994283192714</v>
      </c>
      <c r="DE65" s="1">
        <f t="shared" si="136"/>
        <v>126.96744340360787</v>
      </c>
      <c r="DF65" s="1">
        <f t="shared" si="136"/>
        <v>125.6977689695718</v>
      </c>
      <c r="DG65" s="1">
        <f t="shared" si="136"/>
        <v>124.44079127987608</v>
      </c>
      <c r="DH65" s="1">
        <f t="shared" si="136"/>
        <v>123.19638336707732</v>
      </c>
      <c r="DI65" s="1">
        <f t="shared" si="136"/>
        <v>121.96441953340654</v>
      </c>
      <c r="DJ65" s="1">
        <f t="shared" si="136"/>
        <v>120.74477533807247</v>
      </c>
      <c r="DK65" s="1">
        <f t="shared" si="136"/>
        <v>119.53732758469175</v>
      </c>
      <c r="DL65" s="1">
        <f t="shared" si="136"/>
        <v>118.34195430884483</v>
      </c>
      <c r="DM65" s="1">
        <f t="shared" si="136"/>
        <v>117.15853476575639</v>
      </c>
      <c r="DN65" s="1">
        <f t="shared" si="136"/>
        <v>115.98694941809882</v>
      </c>
      <c r="DO65" s="1">
        <f t="shared" si="136"/>
        <v>114.82707992391782</v>
      </c>
      <c r="DP65" s="1">
        <f t="shared" si="136"/>
        <v>113.67880912467864</v>
      </c>
      <c r="DQ65" s="1">
        <f t="shared" si="136"/>
        <v>112.54202103343185</v>
      </c>
      <c r="DR65" s="1">
        <f t="shared" si="136"/>
        <v>111.41660082309753</v>
      </c>
      <c r="DS65" s="1">
        <f t="shared" si="136"/>
        <v>110.30243481486654</v>
      </c>
      <c r="DT65" s="1">
        <f t="shared" si="136"/>
        <v>109.19941046671788</v>
      </c>
      <c r="DU65" s="1">
        <f t="shared" si="136"/>
        <v>108.1074163620507</v>
      </c>
      <c r="DV65" s="1">
        <f t="shared" si="136"/>
        <v>107.02634219843019</v>
      </c>
      <c r="DW65" s="1">
        <f t="shared" si="136"/>
        <v>105.95607877644588</v>
      </c>
      <c r="DX65" s="1">
        <f t="shared" si="136"/>
        <v>104.89651798868142</v>
      </c>
      <c r="DY65" s="1">
        <f t="shared" si="136"/>
        <v>103.8475528087946</v>
      </c>
      <c r="DZ65" s="1">
        <f t="shared" si="136"/>
        <v>102.80907728070666</v>
      </c>
      <c r="EA65" s="1">
        <f t="shared" si="136"/>
        <v>101.7809865078996</v>
      </c>
      <c r="EB65" s="1">
        <f t="shared" si="136"/>
        <v>100.7631766428206</v>
      </c>
      <c r="EC65" s="1">
        <f t="shared" si="136"/>
        <v>99.755544876392392</v>
      </c>
      <c r="ED65" s="1">
        <f t="shared" si="136"/>
        <v>98.757989427628473</v>
      </c>
      <c r="EE65" s="1">
        <f t="shared" si="136"/>
        <v>97.770409533352193</v>
      </c>
      <c r="EF65" s="1">
        <f t="shared" si="136"/>
        <v>96.792705438018672</v>
      </c>
      <c r="EG65" s="1">
        <f t="shared" si="136"/>
        <v>95.824778383638488</v>
      </c>
      <c r="EH65" s="1">
        <f t="shared" si="136"/>
        <v>94.866530599802104</v>
      </c>
      <c r="EI65" s="1">
        <f t="shared" si="136"/>
        <v>93.917865293804084</v>
      </c>
      <c r="EJ65" s="1">
        <f t="shared" si="136"/>
        <v>92.978686640866044</v>
      </c>
    </row>
    <row r="68" spans="2:140" x14ac:dyDescent="0.3">
      <c r="AO68" s="3">
        <f>NPV(AO39,AB65:EJ65)</f>
        <v>2166.6468010086619</v>
      </c>
    </row>
    <row r="69" spans="2:140" x14ac:dyDescent="0.3">
      <c r="AO69" s="3">
        <f>AO41</f>
        <v>93.9</v>
      </c>
    </row>
    <row r="70" spans="2:140" x14ac:dyDescent="0.3">
      <c r="AO70" s="3">
        <f>AO68+AO69</f>
        <v>2260.546801008662</v>
      </c>
    </row>
    <row r="71" spans="2:140" x14ac:dyDescent="0.3">
      <c r="AO71" s="2">
        <f>AO70/AL28</f>
        <v>25.542901706312566</v>
      </c>
    </row>
    <row r="72" spans="2:140" x14ac:dyDescent="0.3">
      <c r="AO72" s="2">
        <f>Main!D3</f>
        <v>15</v>
      </c>
    </row>
    <row r="73" spans="2:140" x14ac:dyDescent="0.3">
      <c r="AO73" s="9">
        <f>AO71/AO72-1</f>
        <v>0.70286011375417101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2024-10-01T10:52:35Z</dcterms:created>
  <dcterms:modified xsi:type="dcterms:W3CDTF">2025-04-04T09:35:26Z</dcterms:modified>
</cp:coreProperties>
</file>