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FFA42C10-32FB-41E5-B74E-6535B8259F7B}" xr6:coauthVersionLast="47" xr6:coauthVersionMax="47" xr10:uidLastSave="{00000000-0000-0000-0000-000000000000}"/>
  <bookViews>
    <workbookView xWindow="-108" yWindow="-108" windowWidth="23256" windowHeight="12576" activeTab="1" xr2:uid="{C36A60D5-C62B-4A95-9BD8-233E77289D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7" i="2" l="1"/>
  <c r="AC26" i="2"/>
  <c r="AC25" i="2"/>
  <c r="P3" i="2"/>
  <c r="O3" i="2"/>
  <c r="AC23" i="2"/>
  <c r="Y15" i="2"/>
  <c r="X15" i="2"/>
  <c r="W15" i="2"/>
  <c r="V15" i="2"/>
  <c r="U15" i="2"/>
  <c r="T15" i="2"/>
  <c r="S15" i="2"/>
  <c r="R15" i="2"/>
  <c r="Q15" i="2"/>
  <c r="P15" i="2"/>
  <c r="O15" i="2"/>
  <c r="H18" i="2"/>
  <c r="M13" i="2"/>
  <c r="M11" i="2"/>
  <c r="M10" i="2"/>
  <c r="M8" i="2"/>
  <c r="M7" i="2"/>
  <c r="M6" i="2"/>
  <c r="M15" i="2"/>
  <c r="N13" i="2"/>
  <c r="N10" i="2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N11" i="2"/>
  <c r="O11" i="2" s="1"/>
  <c r="N8" i="2"/>
  <c r="O8" i="2" s="1"/>
  <c r="N7" i="2"/>
  <c r="O7" i="2" s="1"/>
  <c r="N6" i="2"/>
  <c r="N15" i="2"/>
  <c r="M3" i="2"/>
  <c r="N3" i="2"/>
  <c r="N20" i="2" l="1"/>
  <c r="N18" i="2"/>
  <c r="O21" i="2"/>
  <c r="P7" i="2"/>
  <c r="O22" i="2"/>
  <c r="P8" i="2"/>
  <c r="Q8" i="2" s="1"/>
  <c r="Q22" i="2" s="1"/>
  <c r="P11" i="2"/>
  <c r="Q11" i="2" s="1"/>
  <c r="R11" i="2" s="1"/>
  <c r="S11" i="2" s="1"/>
  <c r="T11" i="2" s="1"/>
  <c r="U11" i="2" s="1"/>
  <c r="V11" i="2" s="1"/>
  <c r="W11" i="2" s="1"/>
  <c r="X11" i="2" s="1"/>
  <c r="Y11" i="2" s="1"/>
  <c r="N21" i="2"/>
  <c r="N22" i="2"/>
  <c r="O18" i="2" l="1"/>
  <c r="O6" i="2"/>
  <c r="O20" i="2" s="1"/>
  <c r="O5" i="2"/>
  <c r="R8" i="2"/>
  <c r="R22" i="2" s="1"/>
  <c r="Q7" i="2"/>
  <c r="P22" i="2"/>
  <c r="P21" i="2"/>
  <c r="P18" i="2"/>
  <c r="P5" i="2"/>
  <c r="P6" i="2"/>
  <c r="P20" i="2" s="1"/>
  <c r="Q3" i="2"/>
  <c r="S8" i="2" l="1"/>
  <c r="T8" i="2" s="1"/>
  <c r="O4" i="2"/>
  <c r="O9" i="2"/>
  <c r="O19" i="2"/>
  <c r="P4" i="2"/>
  <c r="P19" i="2"/>
  <c r="R7" i="2"/>
  <c r="Q21" i="2"/>
  <c r="Q5" i="2"/>
  <c r="R3" i="2"/>
  <c r="Q18" i="2"/>
  <c r="Q6" i="2"/>
  <c r="Q20" i="2" s="1"/>
  <c r="P9" i="2"/>
  <c r="S22" i="2" l="1"/>
  <c r="O23" i="2"/>
  <c r="O12" i="2"/>
  <c r="O13" i="2" s="1"/>
  <c r="O24" i="2" s="1"/>
  <c r="Q4" i="2"/>
  <c r="Q19" i="2"/>
  <c r="Q9" i="2"/>
  <c r="S3" i="2"/>
  <c r="R18" i="2"/>
  <c r="R6" i="2"/>
  <c r="R20" i="2" s="1"/>
  <c r="R5" i="2"/>
  <c r="R4" i="2" s="1"/>
  <c r="P23" i="2"/>
  <c r="P12" i="2"/>
  <c r="S7" i="2"/>
  <c r="R21" i="2"/>
  <c r="T22" i="2"/>
  <c r="U8" i="2"/>
  <c r="O14" i="2" l="1"/>
  <c r="O16" i="2" s="1"/>
  <c r="Q23" i="2"/>
  <c r="Q12" i="2"/>
  <c r="R19" i="2"/>
  <c r="R9" i="2"/>
  <c r="T3" i="2"/>
  <c r="S6" i="2"/>
  <c r="S20" i="2" s="1"/>
  <c r="S18" i="2"/>
  <c r="S5" i="2"/>
  <c r="S4" i="2" s="1"/>
  <c r="T7" i="2"/>
  <c r="S21" i="2"/>
  <c r="P13" i="2"/>
  <c r="P24" i="2" s="1"/>
  <c r="P14" i="2"/>
  <c r="U22" i="2"/>
  <c r="V8" i="2"/>
  <c r="O25" i="2" l="1"/>
  <c r="P16" i="2"/>
  <c r="P25" i="2"/>
  <c r="U3" i="2"/>
  <c r="T6" i="2"/>
  <c r="T20" i="2" s="1"/>
  <c r="T18" i="2"/>
  <c r="T5" i="2"/>
  <c r="R23" i="2"/>
  <c r="R12" i="2"/>
  <c r="U7" i="2"/>
  <c r="T21" i="2"/>
  <c r="S19" i="2"/>
  <c r="S9" i="2"/>
  <c r="Q13" i="2"/>
  <c r="Q24" i="2" s="1"/>
  <c r="V22" i="2"/>
  <c r="W8" i="2"/>
  <c r="Q14" i="2" l="1"/>
  <c r="R13" i="2"/>
  <c r="R14" i="2" s="1"/>
  <c r="S23" i="2"/>
  <c r="S12" i="2"/>
  <c r="V7" i="2"/>
  <c r="U21" i="2"/>
  <c r="T19" i="2"/>
  <c r="T9" i="2"/>
  <c r="T4" i="2"/>
  <c r="V3" i="2"/>
  <c r="U5" i="2"/>
  <c r="U6" i="2"/>
  <c r="U20" i="2" s="1"/>
  <c r="U18" i="2"/>
  <c r="X8" i="2"/>
  <c r="W22" i="2"/>
  <c r="R24" i="2" l="1"/>
  <c r="R16" i="2"/>
  <c r="R25" i="2"/>
  <c r="W7" i="2"/>
  <c r="V21" i="2"/>
  <c r="T23" i="2"/>
  <c r="T12" i="2"/>
  <c r="Q16" i="2"/>
  <c r="Q25" i="2"/>
  <c r="S13" i="2"/>
  <c r="S14" i="2" s="1"/>
  <c r="U4" i="2"/>
  <c r="U19" i="2"/>
  <c r="U9" i="2"/>
  <c r="W3" i="2"/>
  <c r="V6" i="2"/>
  <c r="V20" i="2" s="1"/>
  <c r="V18" i="2"/>
  <c r="V5" i="2"/>
  <c r="Y8" i="2"/>
  <c r="Y22" i="2" s="1"/>
  <c r="X22" i="2"/>
  <c r="S24" i="2" l="1"/>
  <c r="S25" i="2"/>
  <c r="S16" i="2"/>
  <c r="U23" i="2"/>
  <c r="U12" i="2"/>
  <c r="T13" i="2"/>
  <c r="T24" i="2" s="1"/>
  <c r="X3" i="2"/>
  <c r="W18" i="2"/>
  <c r="W5" i="2"/>
  <c r="W4" i="2" s="1"/>
  <c r="W6" i="2"/>
  <c r="W20" i="2" s="1"/>
  <c r="V4" i="2"/>
  <c r="V19" i="2"/>
  <c r="V9" i="2"/>
  <c r="X7" i="2"/>
  <c r="W21" i="2"/>
  <c r="V23" i="2" l="1"/>
  <c r="V12" i="2"/>
  <c r="T14" i="2"/>
  <c r="Y7" i="2"/>
  <c r="Y21" i="2" s="1"/>
  <c r="X21" i="2"/>
  <c r="Y3" i="2"/>
  <c r="X18" i="2"/>
  <c r="X5" i="2"/>
  <c r="X6" i="2"/>
  <c r="X20" i="2" s="1"/>
  <c r="U13" i="2"/>
  <c r="U14" i="2" s="1"/>
  <c r="W19" i="2"/>
  <c r="W9" i="2"/>
  <c r="U24" i="2" l="1"/>
  <c r="U16" i="2"/>
  <c r="U25" i="2"/>
  <c r="V13" i="2"/>
  <c r="V24" i="2" s="1"/>
  <c r="Y5" i="2"/>
  <c r="Y18" i="2"/>
  <c r="Y6" i="2"/>
  <c r="Y20" i="2" s="1"/>
  <c r="X4" i="2"/>
  <c r="X19" i="2"/>
  <c r="X9" i="2"/>
  <c r="W23" i="2"/>
  <c r="W12" i="2"/>
  <c r="T16" i="2"/>
  <c r="T25" i="2"/>
  <c r="V14" i="2" l="1"/>
  <c r="V16" i="2" s="1"/>
  <c r="W13" i="2"/>
  <c r="W24" i="2" s="1"/>
  <c r="X23" i="2"/>
  <c r="X12" i="2"/>
  <c r="Y4" i="2"/>
  <c r="Y19" i="2"/>
  <c r="Y9" i="2"/>
  <c r="V25" i="2" l="1"/>
  <c r="W14" i="2"/>
  <c r="Y23" i="2"/>
  <c r="Y12" i="2"/>
  <c r="X13" i="2"/>
  <c r="X24" i="2" s="1"/>
  <c r="X14" i="2" l="1"/>
  <c r="X25" i="2" s="1"/>
  <c r="Y13" i="2"/>
  <c r="Y24" i="2" s="1"/>
  <c r="W25" i="2"/>
  <c r="W16" i="2"/>
  <c r="X16" i="2" l="1"/>
  <c r="Y14" i="2"/>
  <c r="Y16" i="2" l="1"/>
  <c r="Y25" i="2"/>
  <c r="Z14" i="2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AC22" i="2" s="1"/>
  <c r="AC24" i="2" s="1"/>
  <c r="D20" i="2" l="1"/>
  <c r="H4" i="2" l="1"/>
  <c r="H15" i="2"/>
  <c r="H20" i="2"/>
  <c r="H21" i="2"/>
  <c r="H22" i="2"/>
  <c r="D4" i="2"/>
  <c r="M4" i="2" s="1"/>
  <c r="M5" i="2" s="1"/>
  <c r="M9" i="2" s="1"/>
  <c r="M12" i="2" s="1"/>
  <c r="M14" i="2" s="1"/>
  <c r="M16" i="2" s="1"/>
  <c r="D15" i="2"/>
  <c r="D9" i="1"/>
  <c r="D8" i="1"/>
  <c r="D7" i="1"/>
  <c r="D6" i="1"/>
  <c r="D5" i="1"/>
  <c r="D4" i="1"/>
  <c r="D5" i="2" l="1"/>
  <c r="D9" i="2" s="1"/>
  <c r="H5" i="2"/>
  <c r="N4" i="2"/>
  <c r="N5" i="2" s="1"/>
  <c r="H19" i="2"/>
  <c r="H9" i="2"/>
  <c r="D19" i="2" l="1"/>
  <c r="N19" i="2"/>
  <c r="N9" i="2"/>
  <c r="D12" i="2"/>
  <c r="D23" i="2"/>
  <c r="H12" i="2"/>
  <c r="H24" i="2" s="1"/>
  <c r="H23" i="2"/>
  <c r="N12" i="2" l="1"/>
  <c r="N23" i="2"/>
  <c r="D14" i="2"/>
  <c r="D24" i="2"/>
  <c r="H14" i="2"/>
  <c r="D16" i="2" l="1"/>
  <c r="D25" i="2"/>
  <c r="H16" i="2"/>
  <c r="H25" i="2"/>
  <c r="N24" i="2"/>
  <c r="N14" i="2"/>
  <c r="N25" i="2" l="1"/>
  <c r="N16" i="2"/>
</calcChain>
</file>

<file path=xl/sharedStrings.xml><?xml version="1.0" encoding="utf-8"?>
<sst xmlns="http://schemas.openxmlformats.org/spreadsheetml/2006/main" count="46" uniqueCount="44">
  <si>
    <t>Price</t>
  </si>
  <si>
    <t>Shares</t>
  </si>
  <si>
    <t>SPOT</t>
  </si>
  <si>
    <t>MC</t>
  </si>
  <si>
    <t>Cash</t>
  </si>
  <si>
    <t>Debt</t>
  </si>
  <si>
    <t>Net Cash</t>
  </si>
  <si>
    <t>EV</t>
  </si>
  <si>
    <t>Revenue</t>
  </si>
  <si>
    <t>Q123</t>
  </si>
  <si>
    <t>Cost of sales</t>
  </si>
  <si>
    <t>Gross profit</t>
  </si>
  <si>
    <t>Q223</t>
  </si>
  <si>
    <t>Q323</t>
  </si>
  <si>
    <t>Q423</t>
  </si>
  <si>
    <t>Q124</t>
  </si>
  <si>
    <t>Q224</t>
  </si>
  <si>
    <t>Q324</t>
  </si>
  <si>
    <t>Q424</t>
  </si>
  <si>
    <t>R&amp;D</t>
  </si>
  <si>
    <t>S&amp;M</t>
  </si>
  <si>
    <t>G&amp;A</t>
  </si>
  <si>
    <t>Operating profit</t>
  </si>
  <si>
    <t>Interest income</t>
  </si>
  <si>
    <t>Interest expense</t>
  </si>
  <si>
    <t>Pretax profit</t>
  </si>
  <si>
    <t>Taxes</t>
  </si>
  <si>
    <t>Net profit</t>
  </si>
  <si>
    <t>EPS</t>
  </si>
  <si>
    <t>Revenue y/y</t>
  </si>
  <si>
    <t>Gross Margin</t>
  </si>
  <si>
    <t>S&amp;M Margin</t>
  </si>
  <si>
    <t>R&amp;D y/y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</si>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</sst>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ont="1"/>
    <xf numFmtId="3" fontId="1" fillId="0" borderId="0" xfId="0" applyNumberFormat="1" applyFont="1"/>
    <xf numFmtId="3" fontId="0" fillId="0" borderId="0" xfId="0" applyNumberFormat="1" applyBorder="1"/>
    <xf numFmtId="3" fontId="0" fillId="0" borderId="0" xfId="0" applyNumberFormat="1" applyFill="1" applyBorder="1"/>
    <xf numFmtId="4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0</xdr:row>
      <xdr:rowOff>22860</xdr:rowOff>
    </xdr:from>
    <xdr:to>
      <xdr:col>14</xdr:col>
      <xdr:colOff>30480</xdr:colOff>
      <xdr:row>32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28E6C7-55BC-708D-3B73-00611B1957FC}"/>
            </a:ext>
          </a:extLst>
        </xdr:cNvPr>
        <xdr:cNvCxnSpPr/>
      </xdr:nvCxnSpPr>
      <xdr:spPr>
        <a:xfrm>
          <a:off x="9067800" y="22860"/>
          <a:ext cx="0" cy="59664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8CC4-E306-414A-97AD-350C733B6231}">
  <dimension ref="B3:D9"/>
  <sheetViews>
    <sheetView workbookViewId="0">
      <selection activeCell="D7" sqref="D7"/>
    </sheetView>
  </sheetViews>
  <sheetFormatPr defaultRowHeight="14.4" x14ac:dyDescent="0.3"/>
  <cols>
    <col min="4" max="4" width="8.88671875" customWidth="1"/>
  </cols>
  <sheetData>
    <row r="3" spans="2:4" x14ac:dyDescent="0.3">
      <c r="B3" s="1" t="s">
        <v>2</v>
      </c>
      <c r="C3" t="s">
        <v>0</v>
      </c>
      <c r="D3" s="2">
        <v>466.69</v>
      </c>
    </row>
    <row r="4" spans="2:4" x14ac:dyDescent="0.3">
      <c r="C4" t="s">
        <v>1</v>
      </c>
      <c r="D4" s="3">
        <f>2797</f>
        <v>2797</v>
      </c>
    </row>
    <row r="5" spans="2:4" x14ac:dyDescent="0.3">
      <c r="C5" t="s">
        <v>3</v>
      </c>
      <c r="D5" s="3">
        <f>D3*D4</f>
        <v>1305331.93</v>
      </c>
    </row>
    <row r="6" spans="2:4" x14ac:dyDescent="0.3">
      <c r="C6" t="s">
        <v>4</v>
      </c>
      <c r="D6" s="3">
        <f>10941+370</f>
        <v>11311</v>
      </c>
    </row>
    <row r="7" spans="2:4" x14ac:dyDescent="0.3">
      <c r="C7" t="s">
        <v>5</v>
      </c>
      <c r="D7" s="3">
        <f>8162+80462</f>
        <v>88624</v>
      </c>
    </row>
    <row r="8" spans="2:4" x14ac:dyDescent="0.3">
      <c r="C8" t="s">
        <v>6</v>
      </c>
      <c r="D8" s="3">
        <f>D6-D7</f>
        <v>-77313</v>
      </c>
    </row>
    <row r="9" spans="2:4" x14ac:dyDescent="0.3">
      <c r="C9" t="s">
        <v>7</v>
      </c>
      <c r="D9" s="3">
        <f>D5-D8</f>
        <v>1382644.93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FFE6-9573-4939-BEB9-032C9BA8B7EC}">
  <dimension ref="B2:EP27"/>
  <sheetViews>
    <sheetView tabSelected="1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C27" sqref="AC27"/>
    </sheetView>
  </sheetViews>
  <sheetFormatPr defaultRowHeight="14.4" x14ac:dyDescent="0.3"/>
  <cols>
    <col min="2" max="2" width="16.21875" customWidth="1"/>
    <col min="28" max="28" width="14.5546875" customWidth="1"/>
    <col min="29" max="29" width="13.88671875" customWidth="1"/>
  </cols>
  <sheetData>
    <row r="2" spans="2:146" x14ac:dyDescent="0.3">
      <c r="C2" s="4" t="s">
        <v>9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  <c r="U2">
        <v>2031</v>
      </c>
      <c r="V2">
        <v>2032</v>
      </c>
      <c r="W2">
        <v>2033</v>
      </c>
      <c r="X2">
        <v>2034</v>
      </c>
      <c r="Y2">
        <v>2035</v>
      </c>
    </row>
    <row r="3" spans="2:146" x14ac:dyDescent="0.3">
      <c r="B3" t="s">
        <v>8</v>
      </c>
      <c r="D3" s="3">
        <v>12941</v>
      </c>
      <c r="H3" s="3">
        <v>14059</v>
      </c>
      <c r="M3" s="3">
        <f>SUM(C3:F3)</f>
        <v>12941</v>
      </c>
      <c r="N3" s="3">
        <f>SUM(G3:J3)</f>
        <v>14059</v>
      </c>
      <c r="O3" s="3">
        <f>N3*1.07</f>
        <v>15043.130000000001</v>
      </c>
      <c r="P3" s="3">
        <f>O3*1.05</f>
        <v>15795.286500000002</v>
      </c>
      <c r="Q3" s="3">
        <f>P3*1.03</f>
        <v>16269.145095000002</v>
      </c>
      <c r="R3" s="3">
        <f>Q3*1.02</f>
        <v>16594.5279969</v>
      </c>
      <c r="S3" s="3">
        <f t="shared" ref="S3:Y3" si="0">R3*1.02</f>
        <v>16926.418556838002</v>
      </c>
      <c r="T3" s="3">
        <f t="shared" si="0"/>
        <v>17264.946927974761</v>
      </c>
      <c r="U3" s="3">
        <f t="shared" si="0"/>
        <v>17610.245866534256</v>
      </c>
      <c r="V3" s="3">
        <f t="shared" si="0"/>
        <v>17962.450783864941</v>
      </c>
      <c r="W3" s="3">
        <f t="shared" si="0"/>
        <v>18321.699799542239</v>
      </c>
      <c r="X3" s="3">
        <f t="shared" si="0"/>
        <v>18688.133795533086</v>
      </c>
      <c r="Y3" s="3">
        <f t="shared" si="0"/>
        <v>19061.896471443746</v>
      </c>
    </row>
    <row r="4" spans="2:146" x14ac:dyDescent="0.3">
      <c r="B4" t="s">
        <v>10</v>
      </c>
      <c r="D4" s="3">
        <f>2274+213+1253</f>
        <v>3740</v>
      </c>
      <c r="H4" s="3">
        <f>2746+172+1167</f>
        <v>4085</v>
      </c>
      <c r="M4" s="3">
        <f>SUM(C4:F4)</f>
        <v>3740</v>
      </c>
      <c r="N4" s="3">
        <f>SUM(G4:J4)</f>
        <v>4085</v>
      </c>
      <c r="O4" s="3">
        <f>O3-O5</f>
        <v>4362.5077000000001</v>
      </c>
      <c r="P4" s="3">
        <f t="shared" ref="P4:Y4" si="1">P3-P5</f>
        <v>4580.6330850000013</v>
      </c>
      <c r="Q4" s="3">
        <f t="shared" si="1"/>
        <v>4718.0520775500008</v>
      </c>
      <c r="R4" s="3">
        <f t="shared" si="1"/>
        <v>4812.4131191010001</v>
      </c>
      <c r="S4" s="3">
        <f t="shared" si="1"/>
        <v>4908.6613814830216</v>
      </c>
      <c r="T4" s="3">
        <f t="shared" si="1"/>
        <v>5006.8346091126805</v>
      </c>
      <c r="U4" s="3">
        <f t="shared" si="1"/>
        <v>5106.9713012949342</v>
      </c>
      <c r="V4" s="3">
        <f t="shared" si="1"/>
        <v>5209.1107273208327</v>
      </c>
      <c r="W4" s="3">
        <f t="shared" si="1"/>
        <v>5313.2929418672502</v>
      </c>
      <c r="X4" s="3">
        <f t="shared" si="1"/>
        <v>5419.5588007045953</v>
      </c>
      <c r="Y4" s="3">
        <f t="shared" si="1"/>
        <v>5527.9499767186862</v>
      </c>
    </row>
    <row r="5" spans="2:146" s="1" customFormat="1" x14ac:dyDescent="0.3">
      <c r="B5" s="1" t="s">
        <v>11</v>
      </c>
      <c r="D5" s="7">
        <f>D3-D4</f>
        <v>9201</v>
      </c>
      <c r="H5" s="7">
        <f>H3-H4</f>
        <v>9974</v>
      </c>
      <c r="M5" s="7">
        <f>M3-M4</f>
        <v>9201</v>
      </c>
      <c r="N5" s="7">
        <f>N3-N4</f>
        <v>9974</v>
      </c>
      <c r="O5" s="7">
        <f>O3*0.71</f>
        <v>10680.622300000001</v>
      </c>
      <c r="P5" s="7">
        <f t="shared" ref="P5:Y5" si="2">P3*0.71</f>
        <v>11214.653415000001</v>
      </c>
      <c r="Q5" s="7">
        <f t="shared" si="2"/>
        <v>11551.093017450001</v>
      </c>
      <c r="R5" s="7">
        <f t="shared" si="2"/>
        <v>11782.114877799</v>
      </c>
      <c r="S5" s="7">
        <f t="shared" si="2"/>
        <v>12017.75717535498</v>
      </c>
      <c r="T5" s="7">
        <f t="shared" si="2"/>
        <v>12258.11231886208</v>
      </c>
      <c r="U5" s="7">
        <f t="shared" si="2"/>
        <v>12503.274565239322</v>
      </c>
      <c r="V5" s="7">
        <f t="shared" si="2"/>
        <v>12753.340056544108</v>
      </c>
      <c r="W5" s="7">
        <f t="shared" si="2"/>
        <v>13008.406857674989</v>
      </c>
      <c r="X5" s="7">
        <f t="shared" si="2"/>
        <v>13268.57499482849</v>
      </c>
      <c r="Y5" s="7">
        <f t="shared" si="2"/>
        <v>13533.94649472506</v>
      </c>
    </row>
    <row r="6" spans="2:146" x14ac:dyDescent="0.3">
      <c r="B6" t="s">
        <v>20</v>
      </c>
      <c r="D6" s="3">
        <v>2093</v>
      </c>
      <c r="H6" s="3">
        <v>2190</v>
      </c>
      <c r="M6" s="3">
        <f>SUM(C6:F6)</f>
        <v>2093</v>
      </c>
      <c r="N6" s="3">
        <f>SUM(G6:J6)</f>
        <v>2190</v>
      </c>
      <c r="O6" s="3">
        <f>O3*0.16</f>
        <v>2406.9008000000003</v>
      </c>
      <c r="P6" s="3">
        <f t="shared" ref="P6:Y6" si="3">P3*0.16</f>
        <v>2527.2458400000005</v>
      </c>
      <c r="Q6" s="3">
        <f t="shared" si="3"/>
        <v>2603.0632152000003</v>
      </c>
      <c r="R6" s="3">
        <f t="shared" si="3"/>
        <v>2655.1244795040002</v>
      </c>
      <c r="S6" s="3">
        <f t="shared" si="3"/>
        <v>2708.2269690940802</v>
      </c>
      <c r="T6" s="3">
        <f t="shared" si="3"/>
        <v>2762.3915084759619</v>
      </c>
      <c r="U6" s="3">
        <f t="shared" si="3"/>
        <v>2817.6393386454811</v>
      </c>
      <c r="V6" s="3">
        <f t="shared" si="3"/>
        <v>2873.9921254183905</v>
      </c>
      <c r="W6" s="3">
        <f t="shared" si="3"/>
        <v>2931.4719679267582</v>
      </c>
      <c r="X6" s="3">
        <f t="shared" si="3"/>
        <v>2990.1014072852936</v>
      </c>
      <c r="Y6" s="3">
        <f t="shared" si="3"/>
        <v>3049.9034354309993</v>
      </c>
    </row>
    <row r="7" spans="2:146" x14ac:dyDescent="0.3">
      <c r="B7" t="s">
        <v>19</v>
      </c>
      <c r="D7" s="3">
        <v>2226</v>
      </c>
      <c r="H7" s="3">
        <v>2471</v>
      </c>
      <c r="M7" s="3">
        <f>SUM(C7:F7)</f>
        <v>2226</v>
      </c>
      <c r="N7" s="3">
        <f>SUM(G7:J7)</f>
        <v>2471</v>
      </c>
      <c r="O7" s="3">
        <f>N7*1.07</f>
        <v>2643.9700000000003</v>
      </c>
      <c r="P7" s="3">
        <f>O7*1.04</f>
        <v>2749.7288000000003</v>
      </c>
      <c r="Q7" s="3">
        <f>P7*1.03</f>
        <v>2832.2206640000004</v>
      </c>
      <c r="R7" s="3">
        <f>Q7*1.02</f>
        <v>2888.8650772800006</v>
      </c>
      <c r="S7" s="3">
        <f>R7*1.01</f>
        <v>2917.7537280528009</v>
      </c>
      <c r="T7" s="3">
        <f t="shared" ref="T7:Y7" si="4">S7*1.01</f>
        <v>2946.9312653333291</v>
      </c>
      <c r="U7" s="3">
        <f t="shared" si="4"/>
        <v>2976.4005779866625</v>
      </c>
      <c r="V7" s="3">
        <f t="shared" si="4"/>
        <v>3006.1645837665292</v>
      </c>
      <c r="W7" s="3">
        <f t="shared" si="4"/>
        <v>3036.2262296041945</v>
      </c>
      <c r="X7" s="3">
        <f t="shared" si="4"/>
        <v>3066.5884919002365</v>
      </c>
      <c r="Y7" s="3">
        <f t="shared" si="4"/>
        <v>3097.254376819239</v>
      </c>
    </row>
    <row r="8" spans="2:146" x14ac:dyDescent="0.3">
      <c r="B8" t="s">
        <v>21</v>
      </c>
      <c r="D8" s="3">
        <v>375</v>
      </c>
      <c r="H8" s="3">
        <v>387</v>
      </c>
      <c r="M8" s="3">
        <f>SUM(C8:F8)</f>
        <v>375</v>
      </c>
      <c r="N8" s="3">
        <f>SUM(G8:J8)</f>
        <v>387</v>
      </c>
      <c r="O8" s="3">
        <f>N8*1.02</f>
        <v>394.74</v>
      </c>
      <c r="P8" s="3">
        <f t="shared" ref="P8:Y8" si="5">O8*1.02</f>
        <v>402.63480000000004</v>
      </c>
      <c r="Q8" s="3">
        <f t="shared" si="5"/>
        <v>410.68749600000007</v>
      </c>
      <c r="R8" s="3">
        <f t="shared" si="5"/>
        <v>418.90124592000006</v>
      </c>
      <c r="S8" s="3">
        <f t="shared" si="5"/>
        <v>427.27927083840007</v>
      </c>
      <c r="T8" s="3">
        <f t="shared" si="5"/>
        <v>435.82485625516807</v>
      </c>
      <c r="U8" s="3">
        <f t="shared" si="5"/>
        <v>444.54135338027146</v>
      </c>
      <c r="V8" s="3">
        <f t="shared" si="5"/>
        <v>453.43218044787687</v>
      </c>
      <c r="W8" s="3">
        <f t="shared" si="5"/>
        <v>462.5008240568344</v>
      </c>
      <c r="X8" s="3">
        <f t="shared" si="5"/>
        <v>471.7508405379711</v>
      </c>
      <c r="Y8" s="3">
        <f t="shared" si="5"/>
        <v>481.18585734873051</v>
      </c>
    </row>
    <row r="9" spans="2:146" s="1" customFormat="1" x14ac:dyDescent="0.3">
      <c r="B9" s="1" t="s">
        <v>22</v>
      </c>
      <c r="D9" s="7">
        <f>D5-SUM(D6:D8)</f>
        <v>4507</v>
      </c>
      <c r="H9" s="7">
        <f>H5-SUM(H6:H8)</f>
        <v>4926</v>
      </c>
      <c r="M9" s="7">
        <f>M5-SUM(M6:M8)</f>
        <v>4507</v>
      </c>
      <c r="N9" s="7">
        <f>N5-SUM(N6:N8)</f>
        <v>4926</v>
      </c>
      <c r="O9" s="7">
        <f t="shared" ref="O9:Y9" si="6">O5-SUM(O6:O8)</f>
        <v>5235.0115000000005</v>
      </c>
      <c r="P9" s="7">
        <f t="shared" si="6"/>
        <v>5535.0439750000005</v>
      </c>
      <c r="Q9" s="7">
        <f t="shared" si="6"/>
        <v>5705.1216422500001</v>
      </c>
      <c r="R9" s="7">
        <f t="shared" si="6"/>
        <v>5819.2240750949986</v>
      </c>
      <c r="S9" s="7">
        <f t="shared" si="6"/>
        <v>5964.497207369699</v>
      </c>
      <c r="T9" s="7">
        <f t="shared" si="6"/>
        <v>6112.9646887976214</v>
      </c>
      <c r="U9" s="7">
        <f t="shared" si="6"/>
        <v>6264.6932952269071</v>
      </c>
      <c r="V9" s="7">
        <f t="shared" si="6"/>
        <v>6419.7511669113119</v>
      </c>
      <c r="W9" s="7">
        <f t="shared" si="6"/>
        <v>6578.2078360872019</v>
      </c>
      <c r="X9" s="7">
        <f t="shared" si="6"/>
        <v>6740.1342551049884</v>
      </c>
      <c r="Y9" s="7">
        <f t="shared" si="6"/>
        <v>6905.6028251260914</v>
      </c>
    </row>
    <row r="10" spans="2:146" s="5" customFormat="1" x14ac:dyDescent="0.3">
      <c r="B10" s="5" t="s">
        <v>23</v>
      </c>
      <c r="D10" s="8">
        <v>14</v>
      </c>
      <c r="H10" s="8">
        <v>-36</v>
      </c>
      <c r="M10" s="3">
        <f>SUM(C10:F10)</f>
        <v>14</v>
      </c>
      <c r="N10" s="3">
        <f>SUM(G10:J10)</f>
        <v>-36</v>
      </c>
      <c r="O10" s="8">
        <f>N10*1.03</f>
        <v>-37.08</v>
      </c>
      <c r="P10" s="8">
        <f t="shared" ref="P10:Y10" si="7">O10*1.03</f>
        <v>-38.192399999999999</v>
      </c>
      <c r="Q10" s="8">
        <f t="shared" si="7"/>
        <v>-39.338172</v>
      </c>
      <c r="R10" s="8">
        <f t="shared" si="7"/>
        <v>-40.518317160000002</v>
      </c>
      <c r="S10" s="8">
        <f t="shared" si="7"/>
        <v>-41.733866674800005</v>
      </c>
      <c r="T10" s="8">
        <f t="shared" si="7"/>
        <v>-42.985882675044003</v>
      </c>
      <c r="U10" s="8">
        <f t="shared" si="7"/>
        <v>-44.275459155295323</v>
      </c>
      <c r="V10" s="8">
        <f t="shared" si="7"/>
        <v>-45.603722929954181</v>
      </c>
      <c r="W10" s="8">
        <f t="shared" si="7"/>
        <v>-46.971834617852807</v>
      </c>
      <c r="X10" s="8">
        <f t="shared" si="7"/>
        <v>-48.380989656388394</v>
      </c>
      <c r="Y10" s="8">
        <f t="shared" si="7"/>
        <v>-49.832419346080044</v>
      </c>
    </row>
    <row r="11" spans="2:146" x14ac:dyDescent="0.3">
      <c r="B11" t="s">
        <v>24</v>
      </c>
      <c r="D11" s="9">
        <v>888</v>
      </c>
      <c r="H11" s="9">
        <v>866</v>
      </c>
      <c r="M11" s="3">
        <f>SUM(C11:F11)</f>
        <v>888</v>
      </c>
      <c r="N11" s="3">
        <f>SUM(G11:J11)</f>
        <v>866</v>
      </c>
      <c r="O11" s="3">
        <f>N11*1.02</f>
        <v>883.32</v>
      </c>
      <c r="P11" s="3">
        <f t="shared" ref="P11:Y11" si="8">O11*1.02</f>
        <v>900.98640000000012</v>
      </c>
      <c r="Q11" s="3">
        <f t="shared" si="8"/>
        <v>919.0061280000001</v>
      </c>
      <c r="R11" s="3">
        <f t="shared" si="8"/>
        <v>937.38625056000012</v>
      </c>
      <c r="S11" s="3">
        <f t="shared" si="8"/>
        <v>956.13397557120015</v>
      </c>
      <c r="T11" s="3">
        <f t="shared" si="8"/>
        <v>975.25665508262421</v>
      </c>
      <c r="U11" s="3">
        <f t="shared" si="8"/>
        <v>994.76178818427672</v>
      </c>
      <c r="V11" s="3">
        <f t="shared" si="8"/>
        <v>1014.6570239479623</v>
      </c>
      <c r="W11" s="3">
        <f t="shared" si="8"/>
        <v>1034.9501644269217</v>
      </c>
      <c r="X11" s="3">
        <f t="shared" si="8"/>
        <v>1055.6491677154602</v>
      </c>
      <c r="Y11" s="3">
        <f t="shared" si="8"/>
        <v>1076.7621510697695</v>
      </c>
    </row>
    <row r="12" spans="2:146" s="1" customFormat="1" x14ac:dyDescent="0.3">
      <c r="B12" s="1" t="s">
        <v>25</v>
      </c>
      <c r="D12" s="7">
        <f>D9-D10-D11</f>
        <v>3605</v>
      </c>
      <c r="H12" s="7">
        <f>H9-H10-H11</f>
        <v>4096</v>
      </c>
      <c r="M12" s="7">
        <f>M9-M10-M11</f>
        <v>3605</v>
      </c>
      <c r="N12" s="7">
        <f>N9-N10-N11</f>
        <v>4096</v>
      </c>
      <c r="O12" s="7">
        <f t="shared" ref="O12:Y12" si="9">O9-O10-O11</f>
        <v>4388.7715000000007</v>
      </c>
      <c r="P12" s="7">
        <f t="shared" si="9"/>
        <v>4672.2499750000006</v>
      </c>
      <c r="Q12" s="7">
        <f t="shared" si="9"/>
        <v>4825.4536862499999</v>
      </c>
      <c r="R12" s="7">
        <f t="shared" si="9"/>
        <v>4922.3561416949988</v>
      </c>
      <c r="S12" s="7">
        <f t="shared" si="9"/>
        <v>5050.0970984732994</v>
      </c>
      <c r="T12" s="7">
        <f t="shared" si="9"/>
        <v>5180.6939163900415</v>
      </c>
      <c r="U12" s="7">
        <f t="shared" si="9"/>
        <v>5314.2069661979258</v>
      </c>
      <c r="V12" s="7">
        <f t="shared" si="9"/>
        <v>5450.697865893304</v>
      </c>
      <c r="W12" s="7">
        <f t="shared" si="9"/>
        <v>5590.2295062781322</v>
      </c>
      <c r="X12" s="7">
        <f t="shared" si="9"/>
        <v>5732.8660770459164</v>
      </c>
      <c r="Y12" s="7">
        <f t="shared" si="9"/>
        <v>5878.6730934024017</v>
      </c>
    </row>
    <row r="13" spans="2:146" x14ac:dyDescent="0.3">
      <c r="B13" t="s">
        <v>26</v>
      </c>
      <c r="D13" s="9">
        <v>217</v>
      </c>
      <c r="H13" s="9">
        <v>239</v>
      </c>
      <c r="M13" s="3">
        <f>SUM(C13:F13)</f>
        <v>217</v>
      </c>
      <c r="N13" s="3">
        <f>SUM(G13:J13)</f>
        <v>239</v>
      </c>
      <c r="O13" s="3">
        <f>O12*0.06</f>
        <v>263.32629000000003</v>
      </c>
      <c r="P13" s="3">
        <f t="shared" ref="P13:Y13" si="10">P12*0.06</f>
        <v>280.33499850000004</v>
      </c>
      <c r="Q13" s="3">
        <f t="shared" si="10"/>
        <v>289.52722117499997</v>
      </c>
      <c r="R13" s="3">
        <f t="shared" si="10"/>
        <v>295.34136850169989</v>
      </c>
      <c r="S13" s="3">
        <f t="shared" si="10"/>
        <v>303.00582590839798</v>
      </c>
      <c r="T13" s="3">
        <f t="shared" si="10"/>
        <v>310.84163498340246</v>
      </c>
      <c r="U13" s="3">
        <f t="shared" si="10"/>
        <v>318.85241797187552</v>
      </c>
      <c r="V13" s="3">
        <f t="shared" si="10"/>
        <v>327.04187195359822</v>
      </c>
      <c r="W13" s="3">
        <f t="shared" si="10"/>
        <v>335.41377037668792</v>
      </c>
      <c r="X13" s="3">
        <f t="shared" si="10"/>
        <v>343.97196462275497</v>
      </c>
      <c r="Y13" s="3">
        <f t="shared" si="10"/>
        <v>352.7203856041441</v>
      </c>
    </row>
    <row r="14" spans="2:146" s="1" customFormat="1" x14ac:dyDescent="0.3">
      <c r="B14" s="1" t="s">
        <v>27</v>
      </c>
      <c r="D14" s="7">
        <f>D12-D13</f>
        <v>3388</v>
      </c>
      <c r="H14" s="7">
        <f>H12-H13</f>
        <v>3857</v>
      </c>
      <c r="M14" s="7">
        <f>M12-M13</f>
        <v>3388</v>
      </c>
      <c r="N14" s="7">
        <f>N12-N13</f>
        <v>3857</v>
      </c>
      <c r="O14" s="7">
        <f t="shared" ref="O14:Y14" si="11">O12-O13</f>
        <v>4125.4452100000008</v>
      </c>
      <c r="P14" s="7">
        <f t="shared" si="11"/>
        <v>4391.9149765000002</v>
      </c>
      <c r="Q14" s="7">
        <f t="shared" si="11"/>
        <v>4535.9264650750001</v>
      </c>
      <c r="R14" s="7">
        <f t="shared" si="11"/>
        <v>4627.0147731932993</v>
      </c>
      <c r="S14" s="7">
        <f t="shared" si="11"/>
        <v>4747.0912725649014</v>
      </c>
      <c r="T14" s="7">
        <f t="shared" si="11"/>
        <v>4869.8522814066391</v>
      </c>
      <c r="U14" s="7">
        <f t="shared" si="11"/>
        <v>4995.3545482260506</v>
      </c>
      <c r="V14" s="7">
        <f t="shared" si="11"/>
        <v>5123.6559939397057</v>
      </c>
      <c r="W14" s="7">
        <f t="shared" si="11"/>
        <v>5254.815735901444</v>
      </c>
      <c r="X14" s="7">
        <f t="shared" si="11"/>
        <v>5388.8941124231615</v>
      </c>
      <c r="Y14" s="7">
        <f t="shared" si="11"/>
        <v>5525.9527077982575</v>
      </c>
      <c r="Z14" s="1">
        <f>Y14*(1+$AC$20)</f>
        <v>5470.6931807202745</v>
      </c>
      <c r="AA14" s="1">
        <f t="shared" ref="AA14:CL14" si="12">Z14*(1+$AC$20)</f>
        <v>5415.9862489130719</v>
      </c>
      <c r="AB14" s="1">
        <f t="shared" si="12"/>
        <v>5361.8263864239416</v>
      </c>
      <c r="AC14" s="1">
        <f t="shared" si="12"/>
        <v>5308.2081225597021</v>
      </c>
      <c r="AD14" s="1">
        <f t="shared" si="12"/>
        <v>5255.1260413341051</v>
      </c>
      <c r="AE14" s="1">
        <f t="shared" si="12"/>
        <v>5202.5747809207642</v>
      </c>
      <c r="AF14" s="1">
        <f t="shared" si="12"/>
        <v>5150.5490331115561</v>
      </c>
      <c r="AG14" s="1">
        <f t="shared" si="12"/>
        <v>5099.0435427804405</v>
      </c>
      <c r="AH14" s="1">
        <f t="shared" si="12"/>
        <v>5048.0531073526363</v>
      </c>
      <c r="AI14" s="1">
        <f t="shared" si="12"/>
        <v>4997.5725762791099</v>
      </c>
      <c r="AJ14" s="1">
        <f t="shared" si="12"/>
        <v>4947.5968505163191</v>
      </c>
      <c r="AK14" s="1">
        <f t="shared" si="12"/>
        <v>4898.120882011156</v>
      </c>
      <c r="AL14" s="1">
        <f t="shared" si="12"/>
        <v>4849.1396731910445</v>
      </c>
      <c r="AM14" s="1">
        <f t="shared" si="12"/>
        <v>4800.6482764591337</v>
      </c>
      <c r="AN14" s="1">
        <f t="shared" si="12"/>
        <v>4752.6417936945427</v>
      </c>
      <c r="AO14" s="1">
        <f t="shared" si="12"/>
        <v>4705.1153757575976</v>
      </c>
      <c r="AP14" s="1">
        <f t="shared" si="12"/>
        <v>4658.0642220000218</v>
      </c>
      <c r="AQ14" s="1">
        <f t="shared" si="12"/>
        <v>4611.4835797800215</v>
      </c>
      <c r="AR14" s="1">
        <f t="shared" si="12"/>
        <v>4565.3687439822215</v>
      </c>
      <c r="AS14" s="1">
        <f t="shared" si="12"/>
        <v>4519.715056542399</v>
      </c>
      <c r="AT14" s="1">
        <f t="shared" si="12"/>
        <v>4474.5179059769753</v>
      </c>
      <c r="AU14" s="1">
        <f t="shared" si="12"/>
        <v>4429.7727269172055</v>
      </c>
      <c r="AV14" s="1">
        <f t="shared" si="12"/>
        <v>4385.4749996480332</v>
      </c>
      <c r="AW14" s="1">
        <f t="shared" si="12"/>
        <v>4341.6202496515525</v>
      </c>
      <c r="AX14" s="1">
        <f t="shared" si="12"/>
        <v>4298.2040471550372</v>
      </c>
      <c r="AY14" s="1">
        <f t="shared" si="12"/>
        <v>4255.2220066834871</v>
      </c>
      <c r="AZ14" s="1">
        <f t="shared" si="12"/>
        <v>4212.6697866166523</v>
      </c>
      <c r="BA14" s="1">
        <f t="shared" si="12"/>
        <v>4170.5430887504854</v>
      </c>
      <c r="BB14" s="1">
        <f t="shared" si="12"/>
        <v>4128.8376578629804</v>
      </c>
      <c r="BC14" s="1">
        <f t="shared" si="12"/>
        <v>4087.5492812843504</v>
      </c>
      <c r="BD14" s="1">
        <f t="shared" si="12"/>
        <v>4046.6737884715067</v>
      </c>
      <c r="BE14" s="1">
        <f t="shared" si="12"/>
        <v>4006.2070505867914</v>
      </c>
      <c r="BF14" s="1">
        <f t="shared" si="12"/>
        <v>3966.1449800809237</v>
      </c>
      <c r="BG14" s="1">
        <f t="shared" si="12"/>
        <v>3926.4835302801143</v>
      </c>
      <c r="BH14" s="1">
        <f t="shared" si="12"/>
        <v>3887.2186949773131</v>
      </c>
      <c r="BI14" s="1">
        <f t="shared" si="12"/>
        <v>3848.34650802754</v>
      </c>
      <c r="BJ14" s="1">
        <f t="shared" si="12"/>
        <v>3809.8630429472646</v>
      </c>
      <c r="BK14" s="1">
        <f t="shared" si="12"/>
        <v>3771.7644125177917</v>
      </c>
      <c r="BL14" s="1">
        <f t="shared" si="12"/>
        <v>3734.0467683926136</v>
      </c>
      <c r="BM14" s="1">
        <f t="shared" si="12"/>
        <v>3696.7063007086872</v>
      </c>
      <c r="BN14" s="1">
        <f t="shared" si="12"/>
        <v>3659.7392377016004</v>
      </c>
      <c r="BO14" s="1">
        <f t="shared" si="12"/>
        <v>3623.1418453245842</v>
      </c>
      <c r="BP14" s="1">
        <f t="shared" si="12"/>
        <v>3586.9104268713381</v>
      </c>
      <c r="BQ14" s="1">
        <f t="shared" si="12"/>
        <v>3551.0413226026249</v>
      </c>
      <c r="BR14" s="1">
        <f t="shared" si="12"/>
        <v>3515.5309093765986</v>
      </c>
      <c r="BS14" s="1">
        <f t="shared" si="12"/>
        <v>3480.3756002828327</v>
      </c>
      <c r="BT14" s="1">
        <f t="shared" si="12"/>
        <v>3445.5718442800044</v>
      </c>
      <c r="BU14" s="1">
        <f t="shared" si="12"/>
        <v>3411.1161258372044</v>
      </c>
      <c r="BV14" s="1">
        <f t="shared" si="12"/>
        <v>3377.0049645788322</v>
      </c>
      <c r="BW14" s="1">
        <f t="shared" si="12"/>
        <v>3343.2349149330439</v>
      </c>
      <c r="BX14" s="1">
        <f t="shared" si="12"/>
        <v>3309.8025657837134</v>
      </c>
      <c r="BY14" s="1">
        <f t="shared" si="12"/>
        <v>3276.7045401258761</v>
      </c>
      <c r="BZ14" s="1">
        <f t="shared" si="12"/>
        <v>3243.9374947246174</v>
      </c>
      <c r="CA14" s="1">
        <f t="shared" si="12"/>
        <v>3211.4981197773714</v>
      </c>
      <c r="CB14" s="1">
        <f t="shared" si="12"/>
        <v>3179.3831385795975</v>
      </c>
      <c r="CC14" s="1">
        <f t="shared" si="12"/>
        <v>3147.5893071938017</v>
      </c>
      <c r="CD14" s="1">
        <f t="shared" si="12"/>
        <v>3116.1134141218636</v>
      </c>
      <c r="CE14" s="1">
        <f t="shared" si="12"/>
        <v>3084.952279980645</v>
      </c>
      <c r="CF14" s="1">
        <f t="shared" si="12"/>
        <v>3054.1027571808386</v>
      </c>
      <c r="CG14" s="1">
        <f t="shared" si="12"/>
        <v>3023.56172960903</v>
      </c>
      <c r="CH14" s="1">
        <f t="shared" si="12"/>
        <v>2993.3261123129396</v>
      </c>
      <c r="CI14" s="1">
        <f t="shared" si="12"/>
        <v>2963.3928511898102</v>
      </c>
      <c r="CJ14" s="1">
        <f t="shared" si="12"/>
        <v>2933.7589226779123</v>
      </c>
      <c r="CK14" s="1">
        <f t="shared" si="12"/>
        <v>2904.4213334511333</v>
      </c>
      <c r="CL14" s="1">
        <f t="shared" si="12"/>
        <v>2875.3771201166219</v>
      </c>
      <c r="CM14" s="1">
        <f t="shared" ref="CM14:EP14" si="13">CL14*(1+$AC$20)</f>
        <v>2846.6233489154556</v>
      </c>
      <c r="CN14" s="1">
        <f t="shared" si="13"/>
        <v>2818.1571154263011</v>
      </c>
      <c r="CO14" s="1">
        <f t="shared" si="13"/>
        <v>2789.975544272038</v>
      </c>
      <c r="CP14" s="1">
        <f t="shared" si="13"/>
        <v>2762.0757888293174</v>
      </c>
      <c r="CQ14" s="1">
        <f t="shared" si="13"/>
        <v>2734.4550309410242</v>
      </c>
      <c r="CR14" s="1">
        <f t="shared" si="13"/>
        <v>2707.1104806316139</v>
      </c>
      <c r="CS14" s="1">
        <f t="shared" si="13"/>
        <v>2680.0393758252976</v>
      </c>
      <c r="CT14" s="1">
        <f t="shared" si="13"/>
        <v>2653.2389820670446</v>
      </c>
      <c r="CU14" s="1">
        <f t="shared" si="13"/>
        <v>2626.7065922463739</v>
      </c>
      <c r="CV14" s="1">
        <f t="shared" si="13"/>
        <v>2600.4395263239103</v>
      </c>
      <c r="CW14" s="1">
        <f t="shared" si="13"/>
        <v>2574.4351310606712</v>
      </c>
      <c r="CX14" s="1">
        <f t="shared" si="13"/>
        <v>2548.6907797500644</v>
      </c>
      <c r="CY14" s="1">
        <f t="shared" si="13"/>
        <v>2523.2038719525635</v>
      </c>
      <c r="CZ14" s="1">
        <f t="shared" si="13"/>
        <v>2497.9718332330381</v>
      </c>
      <c r="DA14" s="1">
        <f t="shared" si="13"/>
        <v>2472.9921149007077</v>
      </c>
      <c r="DB14" s="1">
        <f t="shared" si="13"/>
        <v>2448.2621937517006</v>
      </c>
      <c r="DC14" s="1">
        <f t="shared" si="13"/>
        <v>2423.7795718141833</v>
      </c>
      <c r="DD14" s="1">
        <f t="shared" si="13"/>
        <v>2399.5417760960413</v>
      </c>
      <c r="DE14" s="1">
        <f t="shared" si="13"/>
        <v>2375.5463583350811</v>
      </c>
      <c r="DF14" s="1">
        <f t="shared" si="13"/>
        <v>2351.7908947517303</v>
      </c>
      <c r="DG14" s="1">
        <f t="shared" si="13"/>
        <v>2328.272985804213</v>
      </c>
      <c r="DH14" s="1">
        <f t="shared" si="13"/>
        <v>2304.9902559461707</v>
      </c>
      <c r="DI14" s="1">
        <f t="shared" si="13"/>
        <v>2281.9403533867089</v>
      </c>
      <c r="DJ14" s="1">
        <f t="shared" si="13"/>
        <v>2259.1209498528419</v>
      </c>
      <c r="DK14" s="1">
        <f t="shared" si="13"/>
        <v>2236.5297403543136</v>
      </c>
      <c r="DL14" s="1">
        <f t="shared" si="13"/>
        <v>2214.1644429507705</v>
      </c>
      <c r="DM14" s="1">
        <f t="shared" si="13"/>
        <v>2192.0227985212628</v>
      </c>
      <c r="DN14" s="1">
        <f t="shared" si="13"/>
        <v>2170.1025705360503</v>
      </c>
      <c r="DO14" s="1">
        <f t="shared" si="13"/>
        <v>2148.4015448306895</v>
      </c>
      <c r="DP14" s="1">
        <f t="shared" si="13"/>
        <v>2126.9175293823828</v>
      </c>
      <c r="DQ14" s="1">
        <f t="shared" si="13"/>
        <v>2105.6483540885588</v>
      </c>
      <c r="DR14" s="1">
        <f t="shared" si="13"/>
        <v>2084.5918705476734</v>
      </c>
      <c r="DS14" s="1">
        <f t="shared" si="13"/>
        <v>2063.7459518421965</v>
      </c>
      <c r="DT14" s="1">
        <f t="shared" si="13"/>
        <v>2043.1084923237745</v>
      </c>
      <c r="DU14" s="1">
        <f t="shared" si="13"/>
        <v>2022.6774074005368</v>
      </c>
      <c r="DV14" s="1">
        <f t="shared" si="13"/>
        <v>2002.4506333265315</v>
      </c>
      <c r="DW14" s="1">
        <f t="shared" si="13"/>
        <v>1982.4261269932661</v>
      </c>
      <c r="DX14" s="1">
        <f t="shared" si="13"/>
        <v>1962.6018657233333</v>
      </c>
      <c r="DY14" s="1">
        <f t="shared" si="13"/>
        <v>1942.9758470661</v>
      </c>
      <c r="DZ14" s="1">
        <f t="shared" si="13"/>
        <v>1923.546088595439</v>
      </c>
      <c r="EA14" s="1">
        <f t="shared" si="13"/>
        <v>1904.3106277094846</v>
      </c>
      <c r="EB14" s="1">
        <f t="shared" si="13"/>
        <v>1885.2675214323897</v>
      </c>
      <c r="EC14" s="1">
        <f t="shared" si="13"/>
        <v>1866.4148462180658</v>
      </c>
      <c r="ED14" s="1">
        <f t="shared" si="13"/>
        <v>1847.7506977558851</v>
      </c>
      <c r="EE14" s="1">
        <f t="shared" si="13"/>
        <v>1829.2731907783261</v>
      </c>
      <c r="EF14" s="1">
        <f t="shared" si="13"/>
        <v>1810.9804588705429</v>
      </c>
      <c r="EG14" s="1">
        <f t="shared" si="13"/>
        <v>1792.8706542818375</v>
      </c>
      <c r="EH14" s="1">
        <f t="shared" si="13"/>
        <v>1774.941947739019</v>
      </c>
      <c r="EI14" s="1">
        <f t="shared" si="13"/>
        <v>1757.1925282616289</v>
      </c>
      <c r="EJ14" s="1">
        <f t="shared" si="13"/>
        <v>1739.6206029790126</v>
      </c>
      <c r="EK14" s="1">
        <f t="shared" si="13"/>
        <v>1722.2243969492224</v>
      </c>
      <c r="EL14" s="1">
        <f t="shared" si="13"/>
        <v>1705.0021529797302</v>
      </c>
      <c r="EM14" s="1">
        <f t="shared" si="13"/>
        <v>1687.9521314499329</v>
      </c>
      <c r="EN14" s="1">
        <f t="shared" si="13"/>
        <v>1671.0726101354337</v>
      </c>
      <c r="EO14" s="1">
        <f t="shared" si="13"/>
        <v>1654.3618840340794</v>
      </c>
      <c r="EP14" s="1">
        <f t="shared" si="13"/>
        <v>1637.8182651937386</v>
      </c>
    </row>
    <row r="15" spans="2:146" x14ac:dyDescent="0.3">
      <c r="B15" t="s">
        <v>1</v>
      </c>
      <c r="D15" s="3">
        <f>2797</f>
        <v>2797</v>
      </c>
      <c r="H15" s="3">
        <f>2797</f>
        <v>2797</v>
      </c>
      <c r="M15" s="3">
        <f>2797</f>
        <v>2797</v>
      </c>
      <c r="N15" s="3">
        <f>2797</f>
        <v>2797</v>
      </c>
      <c r="O15" s="3">
        <f>2797</f>
        <v>2797</v>
      </c>
      <c r="P15" s="3">
        <f>2797</f>
        <v>2797</v>
      </c>
      <c r="Q15" s="3">
        <f>2797</f>
        <v>2797</v>
      </c>
      <c r="R15" s="3">
        <f>2797</f>
        <v>2797</v>
      </c>
      <c r="S15" s="3">
        <f>2797</f>
        <v>2797</v>
      </c>
      <c r="T15" s="3">
        <f>2797</f>
        <v>2797</v>
      </c>
      <c r="U15" s="3">
        <f>2797</f>
        <v>2797</v>
      </c>
      <c r="V15" s="3">
        <f>2797</f>
        <v>2797</v>
      </c>
      <c r="W15" s="3">
        <f>2797</f>
        <v>2797</v>
      </c>
      <c r="X15" s="3">
        <f>2797</f>
        <v>2797</v>
      </c>
      <c r="Y15" s="3">
        <f>2797</f>
        <v>2797</v>
      </c>
    </row>
    <row r="16" spans="2:146" x14ac:dyDescent="0.3">
      <c r="B16" s="6" t="s">
        <v>28</v>
      </c>
      <c r="D16" s="10">
        <f>D14/D15</f>
        <v>1.2112978190918842</v>
      </c>
      <c r="H16" s="10">
        <f>H14/H15</f>
        <v>1.3789774758670004</v>
      </c>
      <c r="M16" s="10">
        <f>M14/M15</f>
        <v>1.2112978190918842</v>
      </c>
      <c r="N16" s="10">
        <f>N14/N15</f>
        <v>1.3789774758670004</v>
      </c>
      <c r="O16" s="10">
        <f t="shared" ref="O16:Y16" si="14">O14/O15</f>
        <v>1.4749535967107619</v>
      </c>
      <c r="P16" s="10">
        <f t="shared" si="14"/>
        <v>1.5702234452985342</v>
      </c>
      <c r="Q16" s="10">
        <f t="shared" si="14"/>
        <v>1.6217112853324991</v>
      </c>
      <c r="R16" s="10">
        <f t="shared" si="14"/>
        <v>1.6542777165510545</v>
      </c>
      <c r="S16" s="10">
        <f t="shared" si="14"/>
        <v>1.6972081775348236</v>
      </c>
      <c r="T16" s="10">
        <f t="shared" si="14"/>
        <v>1.7410984202383408</v>
      </c>
      <c r="U16" s="10">
        <f t="shared" si="14"/>
        <v>1.785968733724008</v>
      </c>
      <c r="V16" s="10">
        <f t="shared" si="14"/>
        <v>1.8318398262208457</v>
      </c>
      <c r="W16" s="10">
        <f t="shared" si="14"/>
        <v>1.8787328337152105</v>
      </c>
      <c r="X16" s="10">
        <f t="shared" si="14"/>
        <v>1.9266693287176122</v>
      </c>
      <c r="Y16" s="10">
        <f t="shared" si="14"/>
        <v>1.9756713292092447</v>
      </c>
    </row>
    <row r="18" spans="2:29" s="1" customFormat="1" x14ac:dyDescent="0.3">
      <c r="B18" s="1" t="s">
        <v>29</v>
      </c>
      <c r="H18" s="12">
        <f>H3/D3-1</f>
        <v>8.6392087164824938E-2</v>
      </c>
      <c r="N18" s="12">
        <f>N3/M3-1</f>
        <v>8.6392087164824938E-2</v>
      </c>
      <c r="O18" s="12">
        <f t="shared" ref="O18:Y18" si="15">O3/N3-1</f>
        <v>7.0000000000000062E-2</v>
      </c>
      <c r="P18" s="12">
        <f t="shared" si="15"/>
        <v>5.0000000000000044E-2</v>
      </c>
      <c r="Q18" s="12">
        <f t="shared" si="15"/>
        <v>3.0000000000000027E-2</v>
      </c>
      <c r="R18" s="12">
        <f t="shared" si="15"/>
        <v>2.0000000000000018E-2</v>
      </c>
      <c r="S18" s="12">
        <f t="shared" si="15"/>
        <v>2.0000000000000018E-2</v>
      </c>
      <c r="T18" s="12">
        <f t="shared" si="15"/>
        <v>2.0000000000000018E-2</v>
      </c>
      <c r="U18" s="12">
        <f t="shared" si="15"/>
        <v>2.0000000000000018E-2</v>
      </c>
      <c r="V18" s="12">
        <f t="shared" si="15"/>
        <v>2.0000000000000018E-2</v>
      </c>
      <c r="W18" s="12">
        <f t="shared" si="15"/>
        <v>2.0000000000000018E-2</v>
      </c>
      <c r="X18" s="12">
        <f t="shared" si="15"/>
        <v>2.0000000000000018E-2</v>
      </c>
      <c r="Y18" s="12">
        <f t="shared" si="15"/>
        <v>2.0000000000000018E-2</v>
      </c>
    </row>
    <row r="19" spans="2:29" s="1" customFormat="1" x14ac:dyDescent="0.3">
      <c r="B19" s="1" t="s">
        <v>30</v>
      </c>
      <c r="D19" s="12">
        <f>D5/D3</f>
        <v>0.71099605903716867</v>
      </c>
      <c r="H19" s="12">
        <f>H5/H3</f>
        <v>0.70943879365530982</v>
      </c>
      <c r="N19" s="12">
        <f>N5/N3</f>
        <v>0.70943879365530982</v>
      </c>
      <c r="O19" s="12">
        <f t="shared" ref="O19:Y19" si="16">O5/O3</f>
        <v>0.71</v>
      </c>
      <c r="P19" s="12">
        <f t="shared" si="16"/>
        <v>0.71</v>
      </c>
      <c r="Q19" s="12">
        <f t="shared" si="16"/>
        <v>0.71</v>
      </c>
      <c r="R19" s="12">
        <f t="shared" si="16"/>
        <v>0.71</v>
      </c>
      <c r="S19" s="12">
        <f t="shared" si="16"/>
        <v>0.71</v>
      </c>
      <c r="T19" s="12">
        <f t="shared" si="16"/>
        <v>0.71</v>
      </c>
      <c r="U19" s="12">
        <f t="shared" si="16"/>
        <v>0.71</v>
      </c>
      <c r="V19" s="12">
        <f t="shared" si="16"/>
        <v>0.71</v>
      </c>
      <c r="W19" s="12">
        <f t="shared" si="16"/>
        <v>0.71</v>
      </c>
      <c r="X19" s="12">
        <f t="shared" si="16"/>
        <v>0.71</v>
      </c>
      <c r="Y19" s="12">
        <f t="shared" si="16"/>
        <v>0.71</v>
      </c>
    </row>
    <row r="20" spans="2:29" x14ac:dyDescent="0.3">
      <c r="B20" t="s">
        <v>31</v>
      </c>
      <c r="D20" s="13">
        <f>D6/D3</f>
        <v>0.16173402364577699</v>
      </c>
      <c r="H20" s="13">
        <f>H6/H3</f>
        <v>0.15577210327903834</v>
      </c>
      <c r="N20" s="13">
        <f>N6/N3</f>
        <v>0.15577210327903834</v>
      </c>
      <c r="O20" s="13">
        <f t="shared" ref="O20:Y20" si="17">O6/O3</f>
        <v>0.16</v>
      </c>
      <c r="P20" s="13">
        <f t="shared" si="17"/>
        <v>0.16</v>
      </c>
      <c r="Q20" s="13">
        <f t="shared" si="17"/>
        <v>0.16</v>
      </c>
      <c r="R20" s="13">
        <f t="shared" si="17"/>
        <v>0.16</v>
      </c>
      <c r="S20" s="13">
        <f t="shared" si="17"/>
        <v>0.16</v>
      </c>
      <c r="T20" s="13">
        <f t="shared" si="17"/>
        <v>0.16</v>
      </c>
      <c r="U20" s="13">
        <f t="shared" si="17"/>
        <v>0.16</v>
      </c>
      <c r="V20" s="13">
        <f t="shared" si="17"/>
        <v>0.16</v>
      </c>
      <c r="W20" s="13">
        <f t="shared" si="17"/>
        <v>0.16</v>
      </c>
      <c r="X20" s="13">
        <f t="shared" si="17"/>
        <v>0.16</v>
      </c>
      <c r="Y20" s="13">
        <f t="shared" si="17"/>
        <v>0.16</v>
      </c>
      <c r="AB20" t="s">
        <v>36</v>
      </c>
      <c r="AC20" s="11">
        <v>-0.01</v>
      </c>
    </row>
    <row r="21" spans="2:29" x14ac:dyDescent="0.3">
      <c r="B21" t="s">
        <v>32</v>
      </c>
      <c r="D21" s="13"/>
      <c r="H21" s="13">
        <f>H7/D7-1</f>
        <v>0.11006289308176109</v>
      </c>
      <c r="N21" s="13">
        <f>N7/M7-1</f>
        <v>0.11006289308176109</v>
      </c>
      <c r="O21" s="13">
        <f t="shared" ref="O21:Y21" si="18">O7/N7-1</f>
        <v>7.0000000000000062E-2</v>
      </c>
      <c r="P21" s="13">
        <f t="shared" si="18"/>
        <v>4.0000000000000036E-2</v>
      </c>
      <c r="Q21" s="13">
        <f t="shared" si="18"/>
        <v>3.0000000000000027E-2</v>
      </c>
      <c r="R21" s="13">
        <f t="shared" si="18"/>
        <v>2.0000000000000018E-2</v>
      </c>
      <c r="S21" s="13">
        <f t="shared" si="18"/>
        <v>1.0000000000000009E-2</v>
      </c>
      <c r="T21" s="13">
        <f t="shared" si="18"/>
        <v>1.0000000000000009E-2</v>
      </c>
      <c r="U21" s="13">
        <f t="shared" si="18"/>
        <v>1.0000000000000009E-2</v>
      </c>
      <c r="V21" s="13">
        <f t="shared" si="18"/>
        <v>1.0000000000000009E-2</v>
      </c>
      <c r="W21" s="13">
        <f t="shared" si="18"/>
        <v>1.0000000000000009E-2</v>
      </c>
      <c r="X21" s="13">
        <f t="shared" si="18"/>
        <v>1.0000000000000009E-2</v>
      </c>
      <c r="Y21" s="13">
        <f t="shared" si="18"/>
        <v>1.0000000000000009E-2</v>
      </c>
      <c r="AB21" t="s">
        <v>37</v>
      </c>
      <c r="AC21" s="11">
        <v>0.05</v>
      </c>
    </row>
    <row r="22" spans="2:29" x14ac:dyDescent="0.3">
      <c r="B22" t="s">
        <v>33</v>
      </c>
      <c r="D22" s="13"/>
      <c r="H22" s="13">
        <f>H8/D8-1</f>
        <v>3.2000000000000028E-2</v>
      </c>
      <c r="N22" s="13">
        <f>N8/M8-1</f>
        <v>3.2000000000000028E-2</v>
      </c>
      <c r="O22" s="13">
        <f t="shared" ref="O22:Y22" si="19">O8/N8-1</f>
        <v>2.0000000000000018E-2</v>
      </c>
      <c r="P22" s="13">
        <f t="shared" si="19"/>
        <v>2.0000000000000018E-2</v>
      </c>
      <c r="Q22" s="13">
        <f t="shared" si="19"/>
        <v>2.0000000000000018E-2</v>
      </c>
      <c r="R22" s="13">
        <f t="shared" si="19"/>
        <v>2.0000000000000018E-2</v>
      </c>
      <c r="S22" s="13">
        <f t="shared" si="19"/>
        <v>2.0000000000000018E-2</v>
      </c>
      <c r="T22" s="13">
        <f t="shared" si="19"/>
        <v>2.0000000000000018E-2</v>
      </c>
      <c r="U22" s="13">
        <f t="shared" si="19"/>
        <v>2.0000000000000018E-2</v>
      </c>
      <c r="V22" s="13">
        <f t="shared" si="19"/>
        <v>2.0000000000000018E-2</v>
      </c>
      <c r="W22" s="13">
        <f t="shared" si="19"/>
        <v>2.0000000000000018E-2</v>
      </c>
      <c r="X22" s="13">
        <f t="shared" si="19"/>
        <v>2.0000000000000018E-2</v>
      </c>
      <c r="Y22" s="13">
        <f t="shared" si="19"/>
        <v>2.0000000000000018E-2</v>
      </c>
      <c r="AB22" t="s">
        <v>38</v>
      </c>
      <c r="AC22" s="3">
        <f>NPV(AC21,O14:EP14)</f>
        <v>93202.391438326275</v>
      </c>
    </row>
    <row r="23" spans="2:29" x14ac:dyDescent="0.3">
      <c r="B23" t="s">
        <v>34</v>
      </c>
      <c r="D23" s="13">
        <f>D9/D3</f>
        <v>0.34827293099451356</v>
      </c>
      <c r="H23" s="13">
        <f>H9/H3</f>
        <v>0.35038053915641226</v>
      </c>
      <c r="N23" s="13">
        <f>N9/N3</f>
        <v>0.35038053915641226</v>
      </c>
      <c r="O23" s="13">
        <f t="shared" ref="O23:Y23" si="20">O9/O3</f>
        <v>0.34800015023469189</v>
      </c>
      <c r="P23" s="13">
        <f t="shared" si="20"/>
        <v>0.35042377832146315</v>
      </c>
      <c r="Q23" s="13">
        <f t="shared" si="20"/>
        <v>0.35067126200769799</v>
      </c>
      <c r="R23" s="13">
        <f t="shared" si="20"/>
        <v>0.35067126200769794</v>
      </c>
      <c r="S23" s="13">
        <f t="shared" si="20"/>
        <v>0.35237798163511308</v>
      </c>
      <c r="T23" s="13">
        <f t="shared" si="20"/>
        <v>0.35406796871716151</v>
      </c>
      <c r="U23" s="13">
        <f t="shared" si="20"/>
        <v>0.35574138729840549</v>
      </c>
      <c r="V23" s="13">
        <f t="shared" si="20"/>
        <v>0.35739839981512744</v>
      </c>
      <c r="W23" s="13">
        <f t="shared" si="20"/>
        <v>0.35903916711109718</v>
      </c>
      <c r="X23" s="13">
        <f t="shared" si="20"/>
        <v>0.36066384845318494</v>
      </c>
      <c r="Y23" s="13">
        <f t="shared" si="20"/>
        <v>0.36227260154682089</v>
      </c>
      <c r="AB23" t="s">
        <v>39</v>
      </c>
      <c r="AC23" s="3">
        <f>Main!D8</f>
        <v>-77313</v>
      </c>
    </row>
    <row r="24" spans="2:29" x14ac:dyDescent="0.3">
      <c r="B24" t="s">
        <v>26</v>
      </c>
      <c r="D24" s="13">
        <f>D13/D12</f>
        <v>6.0194174757281553E-2</v>
      </c>
      <c r="H24" s="13">
        <f>H13/H12</f>
        <v>5.8349609375E-2</v>
      </c>
      <c r="N24" s="13">
        <f>N13/N12</f>
        <v>5.8349609375E-2</v>
      </c>
      <c r="O24" s="13">
        <f t="shared" ref="O24:Y24" si="21">O13/O12</f>
        <v>0.06</v>
      </c>
      <c r="P24" s="13">
        <f t="shared" si="21"/>
        <v>0.06</v>
      </c>
      <c r="Q24" s="13">
        <f t="shared" si="21"/>
        <v>5.9999999999999991E-2</v>
      </c>
      <c r="R24" s="13">
        <f t="shared" si="21"/>
        <v>5.9999999999999991E-2</v>
      </c>
      <c r="S24" s="13">
        <f t="shared" si="21"/>
        <v>6.0000000000000005E-2</v>
      </c>
      <c r="T24" s="13">
        <f t="shared" si="21"/>
        <v>5.9999999999999991E-2</v>
      </c>
      <c r="U24" s="13">
        <f t="shared" si="21"/>
        <v>0.06</v>
      </c>
      <c r="V24" s="13">
        <f t="shared" si="21"/>
        <v>0.06</v>
      </c>
      <c r="W24" s="13">
        <f t="shared" si="21"/>
        <v>0.06</v>
      </c>
      <c r="X24" s="13">
        <f t="shared" si="21"/>
        <v>0.06</v>
      </c>
      <c r="Y24" s="13">
        <f t="shared" si="21"/>
        <v>0.06</v>
      </c>
      <c r="AB24" t="s">
        <v>40</v>
      </c>
      <c r="AC24" s="3">
        <f>AC22+AC23</f>
        <v>15889.391438326275</v>
      </c>
    </row>
    <row r="25" spans="2:29" x14ac:dyDescent="0.3">
      <c r="B25" t="s">
        <v>35</v>
      </c>
      <c r="D25" s="13">
        <f>D14/D3</f>
        <v>0.26180357004868249</v>
      </c>
      <c r="H25" s="13">
        <f>H14/H3</f>
        <v>0.27434383668824242</v>
      </c>
      <c r="N25" s="13">
        <f>N14/N3</f>
        <v>0.27434383668824242</v>
      </c>
      <c r="O25" s="13">
        <f t="shared" ref="O25:Y25" si="22">O14/O3</f>
        <v>0.27424114595832122</v>
      </c>
      <c r="P25" s="13">
        <f t="shared" si="22"/>
        <v>0.27805225163215619</v>
      </c>
      <c r="Q25" s="13">
        <f t="shared" si="22"/>
        <v>0.27880545895856734</v>
      </c>
      <c r="R25" s="13">
        <f t="shared" si="22"/>
        <v>0.27882774213630335</v>
      </c>
      <c r="S25" s="13">
        <f t="shared" si="22"/>
        <v>0.28045456022633641</v>
      </c>
      <c r="T25" s="13">
        <f t="shared" si="22"/>
        <v>0.28206587032804104</v>
      </c>
      <c r="U25" s="13">
        <f t="shared" si="22"/>
        <v>0.2836618288060932</v>
      </c>
      <c r="V25" s="13">
        <f t="shared" si="22"/>
        <v>0.28524259053458961</v>
      </c>
      <c r="W25" s="13">
        <f t="shared" si="22"/>
        <v>0.2868083089120767</v>
      </c>
      <c r="X25" s="13">
        <f t="shared" si="22"/>
        <v>0.28835913587643713</v>
      </c>
      <c r="Y25" s="13">
        <f t="shared" si="22"/>
        <v>0.28989522191963318</v>
      </c>
      <c r="AB25" t="s">
        <v>41</v>
      </c>
      <c r="AC25" s="2">
        <f>AC24/Y15</f>
        <v>5.6808693022260544</v>
      </c>
    </row>
    <row r="26" spans="2:29" x14ac:dyDescent="0.3">
      <c r="AB26" t="s">
        <v>42</v>
      </c>
      <c r="AC26" s="2">
        <f>Main!D3</f>
        <v>466.69</v>
      </c>
    </row>
    <row r="27" spans="2:29" x14ac:dyDescent="0.3">
      <c r="AB27" s="1" t="s">
        <v>43</v>
      </c>
      <c r="AC27" s="12">
        <f>AC25/AC26-1</f>
        <v>-0.98782731727222339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2025-01-05T13:03:34Z</dcterms:created>
  <dcterms:modified xsi:type="dcterms:W3CDTF">2025-01-05T13:58:58Z</dcterms:modified>
</cp:coreProperties>
</file>