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3CC5E3D-CF3B-4654-AD9F-852FA71AD10A}" xr6:coauthVersionLast="47" xr6:coauthVersionMax="47" xr10:uidLastSave="{00000000-0000-0000-0000-000000000000}"/>
  <bookViews>
    <workbookView xWindow="-108" yWindow="-108" windowWidth="23256" windowHeight="12576" activeTab="1" xr2:uid="{59555B69-E0C6-4AC2-AD53-EB3ED27D988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F5" i="2"/>
  <c r="AF4" i="2"/>
  <c r="AE8" i="2"/>
  <c r="AE15" i="2"/>
  <c r="AE13" i="2"/>
  <c r="AE11" i="2"/>
  <c r="AE10" i="2"/>
  <c r="AE9" i="2"/>
  <c r="AE7" i="2"/>
  <c r="AE5" i="2"/>
  <c r="AE4" i="2"/>
  <c r="AE3" i="2"/>
  <c r="AF3" i="2" s="1"/>
  <c r="V15" i="2"/>
  <c r="V16" i="2" s="1"/>
  <c r="U15" i="2"/>
  <c r="U16" i="2" s="1"/>
  <c r="T15" i="2"/>
  <c r="S15" i="2"/>
  <c r="S16" i="2" s="1"/>
  <c r="T30" i="2"/>
  <c r="T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7" i="2"/>
  <c r="U17" i="2"/>
  <c r="T17" i="2"/>
  <c r="S17" i="2"/>
  <c r="T16" i="2"/>
  <c r="T18" i="2" s="1"/>
  <c r="V14" i="2"/>
  <c r="U14" i="2"/>
  <c r="T14" i="2"/>
  <c r="S14" i="2"/>
  <c r="V13" i="2"/>
  <c r="U13" i="2"/>
  <c r="T13" i="2"/>
  <c r="S13" i="2"/>
  <c r="T11" i="2"/>
  <c r="T12" i="2" s="1"/>
  <c r="S11" i="2"/>
  <c r="S12" i="2" s="1"/>
  <c r="V12" i="2"/>
  <c r="U12" i="2"/>
  <c r="V11" i="2"/>
  <c r="U11" i="2"/>
  <c r="V10" i="2"/>
  <c r="U10" i="2"/>
  <c r="S10" i="2"/>
  <c r="T10" i="2"/>
  <c r="V9" i="2"/>
  <c r="U9" i="2"/>
  <c r="T9" i="2"/>
  <c r="S9" i="2"/>
  <c r="V8" i="2"/>
  <c r="V7" i="2" s="1"/>
  <c r="U8" i="2"/>
  <c r="U7" i="2" s="1"/>
  <c r="T8" i="2"/>
  <c r="T7" i="2"/>
  <c r="S8" i="2"/>
  <c r="S7" i="2" s="1"/>
  <c r="V5" i="2"/>
  <c r="V6" i="2" s="1"/>
  <c r="U6" i="2"/>
  <c r="T6" i="2"/>
  <c r="S6" i="2"/>
  <c r="T5" i="2"/>
  <c r="U5" i="2"/>
  <c r="S5" i="2"/>
  <c r="V4" i="2"/>
  <c r="U4" i="2"/>
  <c r="T4" i="2"/>
  <c r="S4" i="2"/>
  <c r="V3" i="2"/>
  <c r="U3" i="2"/>
  <c r="T3" i="2"/>
  <c r="S3" i="2"/>
  <c r="R15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R17" i="2"/>
  <c r="D6" i="1"/>
  <c r="D4" i="1"/>
  <c r="Q15" i="2"/>
  <c r="Q17" i="2"/>
  <c r="AS28" i="2"/>
  <c r="U18" i="2" l="1"/>
  <c r="U30" i="2"/>
  <c r="V18" i="2"/>
  <c r="V30" i="2"/>
  <c r="V29" i="2"/>
  <c r="U29" i="2"/>
  <c r="S18" i="2"/>
  <c r="S30" i="2"/>
  <c r="S29" i="2"/>
  <c r="Q27" i="2"/>
  <c r="AD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Q26" i="2"/>
  <c r="Q20" i="2"/>
  <c r="Q22" i="2"/>
  <c r="P22" i="2"/>
  <c r="P21" i="2"/>
  <c r="P20" i="2"/>
  <c r="M27" i="2"/>
  <c r="L27" i="2"/>
  <c r="K27" i="2"/>
  <c r="H27" i="2"/>
  <c r="G27" i="2"/>
  <c r="M26" i="2"/>
  <c r="L26" i="2"/>
  <c r="K26" i="2"/>
  <c r="H26" i="2"/>
  <c r="G26" i="2"/>
  <c r="M22" i="2"/>
  <c r="L22" i="2"/>
  <c r="K22" i="2"/>
  <c r="H22" i="2"/>
  <c r="G22" i="2"/>
  <c r="M21" i="2"/>
  <c r="L21" i="2"/>
  <c r="K21" i="2"/>
  <c r="H21" i="2"/>
  <c r="G21" i="2"/>
  <c r="M20" i="2"/>
  <c r="L20" i="2"/>
  <c r="K20" i="2"/>
  <c r="H20" i="2"/>
  <c r="G20" i="2"/>
  <c r="J15" i="2"/>
  <c r="J13" i="2"/>
  <c r="J11" i="2"/>
  <c r="J10" i="2"/>
  <c r="J9" i="2"/>
  <c r="J7" i="2"/>
  <c r="J5" i="2"/>
  <c r="J4" i="2"/>
  <c r="J3" i="2"/>
  <c r="C6" i="2"/>
  <c r="C8" i="2" s="1"/>
  <c r="C12" i="2" s="1"/>
  <c r="C14" i="2" s="1"/>
  <c r="C16" i="2" s="1"/>
  <c r="C18" i="2" s="1"/>
  <c r="G6" i="2"/>
  <c r="G8" i="2" s="1"/>
  <c r="G12" i="2" s="1"/>
  <c r="G14" i="2" s="1"/>
  <c r="G16" i="2" s="1"/>
  <c r="G18" i="2" s="1"/>
  <c r="D6" i="2"/>
  <c r="D8" i="2" s="1"/>
  <c r="D12" i="2" s="1"/>
  <c r="D14" i="2" s="1"/>
  <c r="D16" i="2" s="1"/>
  <c r="D18" i="2" s="1"/>
  <c r="H6" i="2"/>
  <c r="H8" i="2" s="1"/>
  <c r="H12" i="2" s="1"/>
  <c r="H14" i="2" s="1"/>
  <c r="H16" i="2" s="1"/>
  <c r="H18" i="2" s="1"/>
  <c r="I6" i="2"/>
  <c r="I8" i="2" s="1"/>
  <c r="I12" i="2" s="1"/>
  <c r="I14" i="2" s="1"/>
  <c r="I16" i="2" s="1"/>
  <c r="I18" i="2" s="1"/>
  <c r="M6" i="2"/>
  <c r="M8" i="2" s="1"/>
  <c r="M12" i="2" s="1"/>
  <c r="M14" i="2" s="1"/>
  <c r="M16" i="2" s="1"/>
  <c r="M18" i="2" s="1"/>
  <c r="N15" i="2"/>
  <c r="N13" i="2"/>
  <c r="N11" i="2"/>
  <c r="N10" i="2"/>
  <c r="N9" i="2"/>
  <c r="N7" i="2"/>
  <c r="N5" i="2"/>
  <c r="N4" i="2"/>
  <c r="N3" i="2"/>
  <c r="P27" i="2"/>
  <c r="O27" i="2"/>
  <c r="P26" i="2"/>
  <c r="O26" i="2"/>
  <c r="O22" i="2"/>
  <c r="O21" i="2"/>
  <c r="O20" i="2"/>
  <c r="AC27" i="2"/>
  <c r="AB27" i="2"/>
  <c r="AA27" i="2"/>
  <c r="Z27" i="2"/>
  <c r="AC26" i="2"/>
  <c r="AB26" i="2"/>
  <c r="AA26" i="2"/>
  <c r="Z26" i="2"/>
  <c r="AC22" i="2"/>
  <c r="AB22" i="2"/>
  <c r="AA22" i="2"/>
  <c r="Z22" i="2"/>
  <c r="AC21" i="2"/>
  <c r="AB21" i="2"/>
  <c r="AA21" i="2"/>
  <c r="Z21" i="2"/>
  <c r="AC20" i="2"/>
  <c r="AB20" i="2"/>
  <c r="AA20" i="2"/>
  <c r="Y27" i="2"/>
  <c r="Y26" i="2"/>
  <c r="Y22" i="2"/>
  <c r="Y21" i="2"/>
  <c r="X3" i="2"/>
  <c r="X6" i="2" s="1"/>
  <c r="X8" i="2" s="1"/>
  <c r="X12" i="2" s="1"/>
  <c r="X14" i="2" s="1"/>
  <c r="X16" i="2" s="1"/>
  <c r="X18" i="2" s="1"/>
  <c r="Y3" i="2"/>
  <c r="Y6" i="2" s="1"/>
  <c r="Y8" i="2" s="1"/>
  <c r="Y12" i="2" s="1"/>
  <c r="Y14" i="2" s="1"/>
  <c r="Y16" i="2" s="1"/>
  <c r="Y18" i="2" s="1"/>
  <c r="Z6" i="2"/>
  <c r="Z8" i="2" s="1"/>
  <c r="Z12" i="2" s="1"/>
  <c r="Z14" i="2" s="1"/>
  <c r="Z16" i="2" s="1"/>
  <c r="Z18" i="2" s="1"/>
  <c r="AA6" i="2"/>
  <c r="AA8" i="2" s="1"/>
  <c r="AA12" i="2" s="1"/>
  <c r="AA14" i="2" s="1"/>
  <c r="AA16" i="2" s="1"/>
  <c r="AA18" i="2" s="1"/>
  <c r="AB6" i="2"/>
  <c r="AB8" i="2" s="1"/>
  <c r="AB12" i="2" s="1"/>
  <c r="AB14" i="2" s="1"/>
  <c r="AB16" i="2" s="1"/>
  <c r="AB18" i="2" s="1"/>
  <c r="AC6" i="2"/>
  <c r="AC8" i="2" s="1"/>
  <c r="AC12" i="2" s="1"/>
  <c r="AC14" i="2" s="1"/>
  <c r="AC16" i="2" s="1"/>
  <c r="AC18" i="2" s="1"/>
  <c r="K6" i="2"/>
  <c r="K8" i="2" s="1"/>
  <c r="K12" i="2" s="1"/>
  <c r="K14" i="2" s="1"/>
  <c r="K16" i="2" s="1"/>
  <c r="K18" i="2" s="1"/>
  <c r="O6" i="2"/>
  <c r="O8" i="2" s="1"/>
  <c r="O12" i="2" s="1"/>
  <c r="O14" i="2" s="1"/>
  <c r="O16" i="2" s="1"/>
  <c r="O18" i="2" s="1"/>
  <c r="L6" i="2"/>
  <c r="L8" i="2" s="1"/>
  <c r="L12" i="2" s="1"/>
  <c r="L14" i="2" s="1"/>
  <c r="L16" i="2" s="1"/>
  <c r="L18" i="2" s="1"/>
  <c r="P6" i="2"/>
  <c r="P25" i="2" s="1"/>
  <c r="N20" i="2" l="1"/>
  <c r="N27" i="2"/>
  <c r="M23" i="2"/>
  <c r="N21" i="2"/>
  <c r="R6" i="2"/>
  <c r="R8" i="2" s="1"/>
  <c r="AD10" i="2"/>
  <c r="R22" i="2"/>
  <c r="AD5" i="2"/>
  <c r="AD22" i="2" s="1"/>
  <c r="R20" i="2"/>
  <c r="AD3" i="2"/>
  <c r="AE20" i="2" s="1"/>
  <c r="L23" i="2"/>
  <c r="L24" i="2"/>
  <c r="L25" i="2"/>
  <c r="N26" i="2"/>
  <c r="H28" i="2"/>
  <c r="H29" i="2"/>
  <c r="H30" i="2"/>
  <c r="D24" i="2"/>
  <c r="D30" i="2"/>
  <c r="R21" i="2"/>
  <c r="M24" i="2"/>
  <c r="M25" i="2"/>
  <c r="I28" i="2"/>
  <c r="I29" i="2"/>
  <c r="I30" i="2"/>
  <c r="C25" i="2"/>
  <c r="D25" i="2"/>
  <c r="R27" i="2"/>
  <c r="G24" i="2"/>
  <c r="G25" i="2"/>
  <c r="K28" i="2"/>
  <c r="K29" i="2"/>
  <c r="K30" i="2"/>
  <c r="C28" i="2"/>
  <c r="N22" i="2"/>
  <c r="H24" i="2"/>
  <c r="H25" i="2"/>
  <c r="L28" i="2"/>
  <c r="L29" i="2"/>
  <c r="L30" i="2"/>
  <c r="D28" i="2"/>
  <c r="P23" i="2"/>
  <c r="G23" i="2"/>
  <c r="I24" i="2"/>
  <c r="I25" i="2"/>
  <c r="M28" i="2"/>
  <c r="M29" i="2"/>
  <c r="M30" i="2"/>
  <c r="C29" i="2"/>
  <c r="H23" i="2"/>
  <c r="D29" i="2"/>
  <c r="K23" i="2"/>
  <c r="K24" i="2"/>
  <c r="K25" i="2"/>
  <c r="G28" i="2"/>
  <c r="G29" i="2"/>
  <c r="G30" i="2"/>
  <c r="C24" i="2"/>
  <c r="C30" i="2"/>
  <c r="AD11" i="2"/>
  <c r="AF11" i="2" s="1"/>
  <c r="AG11" i="2" s="1"/>
  <c r="AH11" i="2" s="1"/>
  <c r="Q21" i="2"/>
  <c r="Q6" i="2"/>
  <c r="Q8" i="2" s="1"/>
  <c r="J6" i="2"/>
  <c r="J8" i="2" s="1"/>
  <c r="AC23" i="2"/>
  <c r="X24" i="2"/>
  <c r="Z23" i="2"/>
  <c r="O24" i="2"/>
  <c r="Z30" i="2"/>
  <c r="O28" i="2"/>
  <c r="Y20" i="2"/>
  <c r="Z25" i="2"/>
  <c r="O30" i="2"/>
  <c r="P8" i="2"/>
  <c r="P12" i="2" s="1"/>
  <c r="P14" i="2" s="1"/>
  <c r="P16" i="2" s="1"/>
  <c r="Z28" i="2"/>
  <c r="Z29" i="2"/>
  <c r="Z20" i="2"/>
  <c r="Y23" i="2"/>
  <c r="Z24" i="2"/>
  <c r="Y24" i="2"/>
  <c r="AA23" i="2"/>
  <c r="AA24" i="2"/>
  <c r="AA25" i="2"/>
  <c r="AA28" i="2"/>
  <c r="AA29" i="2"/>
  <c r="AA30" i="2"/>
  <c r="X25" i="2"/>
  <c r="Y25" i="2"/>
  <c r="AB23" i="2"/>
  <c r="AB24" i="2"/>
  <c r="AB25" i="2"/>
  <c r="AB28" i="2"/>
  <c r="AB29" i="2"/>
  <c r="AB30" i="2"/>
  <c r="X28" i="2"/>
  <c r="AC24" i="2"/>
  <c r="AC25" i="2"/>
  <c r="AC28" i="2"/>
  <c r="AC29" i="2"/>
  <c r="AC30" i="2"/>
  <c r="X29" i="2"/>
  <c r="X30" i="2"/>
  <c r="O25" i="2"/>
  <c r="O29" i="2"/>
  <c r="Y28" i="2"/>
  <c r="Y29" i="2"/>
  <c r="Y30" i="2"/>
  <c r="O23" i="2"/>
  <c r="N6" i="2"/>
  <c r="N25" i="2" s="1"/>
  <c r="AD26" i="2" l="1"/>
  <c r="R26" i="2"/>
  <c r="J25" i="2"/>
  <c r="AD20" i="2"/>
  <c r="R25" i="2"/>
  <c r="AD4" i="2"/>
  <c r="AG4" i="2" s="1"/>
  <c r="AH4" i="2" s="1"/>
  <c r="AI4" i="2" s="1"/>
  <c r="AJ4" i="2" s="1"/>
  <c r="AK4" i="2" s="1"/>
  <c r="J12" i="2"/>
  <c r="J24" i="2"/>
  <c r="N8" i="2"/>
  <c r="N24" i="2" s="1"/>
  <c r="N23" i="2"/>
  <c r="R23" i="2"/>
  <c r="AF20" i="2"/>
  <c r="AD27" i="2"/>
  <c r="Q23" i="2"/>
  <c r="P29" i="2"/>
  <c r="P28" i="2"/>
  <c r="P24" i="2"/>
  <c r="P18" i="2"/>
  <c r="P30" i="2"/>
  <c r="AE22" i="2" l="1"/>
  <c r="N12" i="2"/>
  <c r="N28" i="2" s="1"/>
  <c r="AF10" i="2"/>
  <c r="AE26" i="2"/>
  <c r="AE27" i="2"/>
  <c r="J14" i="2"/>
  <c r="J28" i="2"/>
  <c r="AD21" i="2"/>
  <c r="AD6" i="2"/>
  <c r="AG3" i="2"/>
  <c r="R12" i="2"/>
  <c r="Q12" i="2"/>
  <c r="AF27" i="2"/>
  <c r="AD9" i="2"/>
  <c r="Q25" i="2"/>
  <c r="AG5" i="2" l="1"/>
  <c r="AH5" i="2" s="1"/>
  <c r="AI5" i="2" s="1"/>
  <c r="AJ5" i="2" s="1"/>
  <c r="AK5" i="2" s="1"/>
  <c r="AL5" i="2" s="1"/>
  <c r="AM5" i="2" s="1"/>
  <c r="AN5" i="2" s="1"/>
  <c r="AF22" i="2"/>
  <c r="AG10" i="2"/>
  <c r="AF26" i="2"/>
  <c r="N14" i="2"/>
  <c r="N29" i="2" s="1"/>
  <c r="AH3" i="2"/>
  <c r="AG20" i="2"/>
  <c r="AE21" i="2"/>
  <c r="AE6" i="2"/>
  <c r="AG27" i="2"/>
  <c r="R14" i="2"/>
  <c r="R28" i="2"/>
  <c r="AD23" i="2"/>
  <c r="AD25" i="2"/>
  <c r="Q14" i="2"/>
  <c r="Q28" i="2"/>
  <c r="J16" i="2"/>
  <c r="J29" i="2"/>
  <c r="N16" i="2" l="1"/>
  <c r="N30" i="2" s="1"/>
  <c r="AG22" i="2"/>
  <c r="AH10" i="2"/>
  <c r="AG26" i="2"/>
  <c r="J18" i="2"/>
  <c r="J30" i="2"/>
  <c r="AE25" i="2"/>
  <c r="AI11" i="2"/>
  <c r="AH27" i="2"/>
  <c r="AE23" i="2"/>
  <c r="AF21" i="2"/>
  <c r="AF6" i="2"/>
  <c r="AI3" i="2"/>
  <c r="AJ3" i="2" s="1"/>
  <c r="AH20" i="2"/>
  <c r="R29" i="2"/>
  <c r="N18" i="2"/>
  <c r="AH22" i="2" l="1"/>
  <c r="AI10" i="2"/>
  <c r="AH26" i="2"/>
  <c r="R16" i="2"/>
  <c r="R18" i="2" s="1"/>
  <c r="AJ11" i="2"/>
  <c r="AI27" i="2"/>
  <c r="AI20" i="2"/>
  <c r="AF9" i="2"/>
  <c r="AF25" i="2" s="1"/>
  <c r="AF8" i="2"/>
  <c r="AF23" i="2"/>
  <c r="AE24" i="2"/>
  <c r="AE12" i="2"/>
  <c r="AG21" i="2"/>
  <c r="AG6" i="2"/>
  <c r="AD15" i="2"/>
  <c r="Q29" i="2"/>
  <c r="Q16" i="2"/>
  <c r="AI22" i="2" l="1"/>
  <c r="AJ10" i="2"/>
  <c r="AI26" i="2"/>
  <c r="R30" i="2"/>
  <c r="AG9" i="2"/>
  <c r="AG25" i="2" s="1"/>
  <c r="AG8" i="2"/>
  <c r="AG23" i="2"/>
  <c r="AH21" i="2"/>
  <c r="AH6" i="2"/>
  <c r="Q18" i="2"/>
  <c r="Q30" i="2"/>
  <c r="AK3" i="2"/>
  <c r="AJ20" i="2"/>
  <c r="AE28" i="2"/>
  <c r="AE14" i="2"/>
  <c r="AF7" i="2"/>
  <c r="AF12" i="2"/>
  <c r="AF24" i="2"/>
  <c r="AK11" i="2"/>
  <c r="AJ27" i="2"/>
  <c r="AJ22" i="2" l="1"/>
  <c r="AK10" i="2"/>
  <c r="AJ26" i="2"/>
  <c r="AH9" i="2"/>
  <c r="AH25" i="2" s="1"/>
  <c r="AH8" i="2"/>
  <c r="AF28" i="2"/>
  <c r="AF14" i="2"/>
  <c r="AE29" i="2"/>
  <c r="AI21" i="2"/>
  <c r="AI6" i="2"/>
  <c r="AL3" i="2"/>
  <c r="AK20" i="2"/>
  <c r="AG7" i="2"/>
  <c r="AG12" i="2"/>
  <c r="AG24" i="2"/>
  <c r="AL11" i="2"/>
  <c r="AK27" i="2"/>
  <c r="AH23" i="2"/>
  <c r="AL10" i="2" l="1"/>
  <c r="AK26" i="2"/>
  <c r="AK22" i="2"/>
  <c r="AE16" i="2"/>
  <c r="AF15" i="2"/>
  <c r="AF16" i="2" s="1"/>
  <c r="AM3" i="2"/>
  <c r="AL20" i="2"/>
  <c r="AG14" i="2"/>
  <c r="AG28" i="2"/>
  <c r="AI8" i="2"/>
  <c r="AI7" i="2" s="1"/>
  <c r="AI9" i="2"/>
  <c r="AI25" i="2" s="1"/>
  <c r="AH7" i="2"/>
  <c r="AH24" i="2"/>
  <c r="AH12" i="2"/>
  <c r="AM11" i="2"/>
  <c r="AL27" i="2"/>
  <c r="AJ21" i="2"/>
  <c r="AJ6" i="2"/>
  <c r="AI23" i="2"/>
  <c r="AL22" i="2" l="1"/>
  <c r="AM10" i="2"/>
  <c r="AL26" i="2"/>
  <c r="AF18" i="2"/>
  <c r="AF30" i="2"/>
  <c r="AN3" i="2"/>
  <c r="AM20" i="2"/>
  <c r="AG15" i="2"/>
  <c r="AG29" i="2" s="1"/>
  <c r="AI12" i="2"/>
  <c r="AI24" i="2"/>
  <c r="AF29" i="2"/>
  <c r="AN11" i="2"/>
  <c r="AM27" i="2"/>
  <c r="AH14" i="2"/>
  <c r="AH28" i="2"/>
  <c r="AJ8" i="2"/>
  <c r="AJ7" i="2" s="1"/>
  <c r="AJ23" i="2"/>
  <c r="AJ9" i="2"/>
  <c r="AJ25" i="2" s="1"/>
  <c r="AL4" i="2"/>
  <c r="AK21" i="2"/>
  <c r="AK6" i="2"/>
  <c r="AE18" i="2"/>
  <c r="AE30" i="2"/>
  <c r="D9" i="1"/>
  <c r="D8" i="1"/>
  <c r="AN10" i="2" l="1"/>
  <c r="AM26" i="2"/>
  <c r="AM22" i="2"/>
  <c r="AG16" i="2"/>
  <c r="AG30" i="2" s="1"/>
  <c r="D10" i="1"/>
  <c r="AS25" i="2" s="1"/>
  <c r="AH15" i="2"/>
  <c r="AH29" i="2" s="1"/>
  <c r="AK8" i="2"/>
  <c r="AK7" i="2" s="1"/>
  <c r="AK23" i="2"/>
  <c r="AK9" i="2"/>
  <c r="AK25" i="2" s="1"/>
  <c r="AM4" i="2"/>
  <c r="AL21" i="2"/>
  <c r="AL6" i="2"/>
  <c r="AO11" i="2"/>
  <c r="AO27" i="2" s="1"/>
  <c r="AN27" i="2"/>
  <c r="AO3" i="2"/>
  <c r="AN20" i="2"/>
  <c r="AJ12" i="2"/>
  <c r="AJ24" i="2"/>
  <c r="AI28" i="2"/>
  <c r="AI14" i="2"/>
  <c r="D5" i="1"/>
  <c r="F3" i="1"/>
  <c r="R24" i="2"/>
  <c r="Q24" i="2"/>
  <c r="AO5" i="2" l="1"/>
  <c r="AO22" i="2" s="1"/>
  <c r="AN22" i="2"/>
  <c r="AO10" i="2"/>
  <c r="AO26" i="2" s="1"/>
  <c r="AN26" i="2"/>
  <c r="AG18" i="2"/>
  <c r="AH16" i="2"/>
  <c r="AH18" i="2" s="1"/>
  <c r="D11" i="1"/>
  <c r="AN4" i="2"/>
  <c r="AM21" i="2"/>
  <c r="AM6" i="2"/>
  <c r="AO20" i="2"/>
  <c r="AD7" i="2"/>
  <c r="AD8" i="2" s="1"/>
  <c r="AD12" i="2" s="1"/>
  <c r="AI15" i="2"/>
  <c r="AI29" i="2" s="1"/>
  <c r="AK24" i="2"/>
  <c r="AK12" i="2"/>
  <c r="AJ14" i="2"/>
  <c r="AJ28" i="2"/>
  <c r="AL23" i="2"/>
  <c r="AL9" i="2"/>
  <c r="AL25" i="2" s="1"/>
  <c r="AL8" i="2"/>
  <c r="AL7" i="2" s="1"/>
  <c r="AH30" i="2" l="1"/>
  <c r="AI16" i="2"/>
  <c r="AI18" i="2" s="1"/>
  <c r="AJ15" i="2"/>
  <c r="AJ29" i="2" s="1"/>
  <c r="AD24" i="2"/>
  <c r="AK14" i="2"/>
  <c r="AK28" i="2"/>
  <c r="AL12" i="2"/>
  <c r="AL24" i="2"/>
  <c r="AM9" i="2"/>
  <c r="AM25" i="2" s="1"/>
  <c r="AM8" i="2"/>
  <c r="AM7" i="2" s="1"/>
  <c r="AM23" i="2"/>
  <c r="AO4" i="2"/>
  <c r="AN21" i="2"/>
  <c r="AN6" i="2"/>
  <c r="AD28" i="2"/>
  <c r="AD14" i="2"/>
  <c r="AI30" i="2" l="1"/>
  <c r="AN9" i="2"/>
  <c r="AN25" i="2" s="1"/>
  <c r="AN8" i="2"/>
  <c r="AN23" i="2"/>
  <c r="AO21" i="2"/>
  <c r="AO6" i="2"/>
  <c r="AL14" i="2"/>
  <c r="AL28" i="2"/>
  <c r="AK15" i="2"/>
  <c r="AK29" i="2" s="1"/>
  <c r="AM12" i="2"/>
  <c r="AM24" i="2"/>
  <c r="AJ16" i="2"/>
  <c r="AD16" i="2"/>
  <c r="AD29" i="2"/>
  <c r="AK16" i="2" l="1"/>
  <c r="AK30" i="2" s="1"/>
  <c r="AL15" i="2"/>
  <c r="AL29" i="2" s="1"/>
  <c r="AO23" i="2"/>
  <c r="AO9" i="2"/>
  <c r="AO25" i="2" s="1"/>
  <c r="AO8" i="2"/>
  <c r="AJ18" i="2"/>
  <c r="AJ30" i="2"/>
  <c r="AN7" i="2"/>
  <c r="AN12" i="2"/>
  <c r="AN24" i="2"/>
  <c r="AM28" i="2"/>
  <c r="AM14" i="2"/>
  <c r="AD18" i="2"/>
  <c r="AD30" i="2"/>
  <c r="AK18" i="2" l="1"/>
  <c r="AM15" i="2"/>
  <c r="AM29" i="2" s="1"/>
  <c r="AO7" i="2"/>
  <c r="AO12" i="2"/>
  <c r="AO24" i="2"/>
  <c r="AN28" i="2"/>
  <c r="AN14" i="2"/>
  <c r="AL16" i="2"/>
  <c r="AN15" i="2" l="1"/>
  <c r="AN29" i="2" s="1"/>
  <c r="AM16" i="2"/>
  <c r="AO14" i="2"/>
  <c r="AO28" i="2"/>
  <c r="AL18" i="2"/>
  <c r="AL30" i="2"/>
  <c r="AO15" i="2" l="1"/>
  <c r="AO29" i="2" s="1"/>
  <c r="AM30" i="2"/>
  <c r="AM18" i="2"/>
  <c r="AN16" i="2"/>
  <c r="AO16" i="2" l="1"/>
  <c r="AP16" i="2" s="1"/>
  <c r="AN18" i="2"/>
  <c r="AN30" i="2"/>
  <c r="AO30" i="2" l="1"/>
  <c r="AO18" i="2"/>
  <c r="AQ16" i="2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AS23" i="2" s="1"/>
  <c r="AS24" i="2" s="1"/>
  <c r="AS26" i="2" s="1"/>
  <c r="AS27" i="2" s="1"/>
  <c r="AS29" i="2" s="1"/>
</calcChain>
</file>

<file path=xl/sharedStrings.xml><?xml version="1.0" encoding="utf-8"?>
<sst xmlns="http://schemas.openxmlformats.org/spreadsheetml/2006/main" count="76" uniqueCount="72">
  <si>
    <t>PAGS</t>
  </si>
  <si>
    <t>Price</t>
  </si>
  <si>
    <t>Shares</t>
  </si>
  <si>
    <t>MC</t>
  </si>
  <si>
    <t>Net Cash</t>
  </si>
  <si>
    <t>EV</t>
  </si>
  <si>
    <t>Last checked</t>
  </si>
  <si>
    <t>Today</t>
  </si>
  <si>
    <t>Earnings</t>
  </si>
  <si>
    <t>Cash R$</t>
  </si>
  <si>
    <t>Debt R$</t>
  </si>
  <si>
    <t>Cash USD</t>
  </si>
  <si>
    <t>Debt USD</t>
  </si>
  <si>
    <t>USD/BRL</t>
  </si>
  <si>
    <t>Q122</t>
  </si>
  <si>
    <t>Transaction revenue</t>
  </si>
  <si>
    <t>Financial revenue</t>
  </si>
  <si>
    <t>Other revenue</t>
  </si>
  <si>
    <t>Total revenue</t>
  </si>
  <si>
    <t>Cost of sales</t>
  </si>
  <si>
    <t>Gross profit</t>
  </si>
  <si>
    <t>S&amp;M</t>
  </si>
  <si>
    <t>G&amp;A</t>
  </si>
  <si>
    <t>Operating profit</t>
  </si>
  <si>
    <t>Net financial expense</t>
  </si>
  <si>
    <t>Other income</t>
  </si>
  <si>
    <t>Pretax profit</t>
  </si>
  <si>
    <t>Taxes</t>
  </si>
  <si>
    <t>Net profit</t>
  </si>
  <si>
    <t>EPS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</si>
  <si>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</si>
  <si>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</si>
  <si>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</si>
  <si>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</si>
  <si>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</si>
  <si>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</si>
  <si>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</si>
  <si>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</si>
  <si>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</si>
  <si>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</si>
  <si>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</si>
  <si>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Transaction revenue y/y</t>
  </si>
  <si>
    <t>Financial revenue y/y</t>
  </si>
  <si>
    <t>Other revenue y/y</t>
  </si>
  <si>
    <t>Revenue y/y</t>
  </si>
  <si>
    <t>Gross Margin</t>
  </si>
  <si>
    <t>S&amp;M Margin</t>
  </si>
  <si>
    <t>G&amp;A y/y</t>
  </si>
  <si>
    <t>Financial expense y/y</t>
  </si>
  <si>
    <t>Operating Margin</t>
  </si>
  <si>
    <t>Net Margin</t>
  </si>
  <si>
    <t>Q121</t>
  </si>
  <si>
    <t>Q221</t>
  </si>
  <si>
    <t>Q321</t>
  </si>
  <si>
    <t>Q421</t>
  </si>
  <si>
    <t>Maturity</t>
  </si>
  <si>
    <t>Discount rate</t>
  </si>
  <si>
    <t>NPV</t>
  </si>
  <si>
    <t>NPV USD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</si>
  <si>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</si>
  <si>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</si>
  <si>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</si>
  <si>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</si>
  <si>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</si>
  <si>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</si>
  <si>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</si>
  <si>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</si>
  <si>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</si>
  <si>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</si>
  <si>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Q424 6K</t>
  </si>
  <si>
    <t>Overvalued</t>
  </si>
  <si>
    <t>unsure about the debt, heavily depends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</si>
</sst>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5" fontId="0" fillId="0" borderId="0" xfId="0" applyNumberFormat="1"/>
    <xf numFmtId="9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30480</xdr:colOff>
      <xdr:row>0</xdr:row>
      <xdr:rowOff>15240</xdr:rowOff>
    </xdr:from>
    <xdr:to>
      <xdr:col>30</xdr:col>
      <xdr:colOff>30480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E069F13-FA22-31A8-3F9B-4EB4672605F2}"/>
            </a:ext>
          </a:extLst>
        </xdr:cNvPr>
        <xdr:cNvCxnSpPr/>
      </xdr:nvCxnSpPr>
      <xdr:spPr>
        <a:xfrm>
          <a:off x="1913382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0</xdr:row>
      <xdr:rowOff>0</xdr:rowOff>
    </xdr:from>
    <xdr:to>
      <xdr:col>18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493FA0-9C6E-93F5-DA94-178447030888}"/>
            </a:ext>
          </a:extLst>
        </xdr:cNvPr>
        <xdr:cNvCxnSpPr/>
      </xdr:nvCxnSpPr>
      <xdr:spPr>
        <a:xfrm>
          <a:off x="118110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3A3C-DED6-4131-AC42-CB1D0A590FEC}">
  <dimension ref="B2:G13"/>
  <sheetViews>
    <sheetView workbookViewId="0">
      <selection activeCell="D4" sqref="D4"/>
    </sheetView>
  </sheetViews>
  <sheetFormatPr defaultRowHeight="14.4" x14ac:dyDescent="0.3"/>
  <cols>
    <col min="5" max="7" width="13.109375" style="2" customWidth="1"/>
    <col min="8" max="8" width="8.88671875" customWidth="1"/>
  </cols>
  <sheetData>
    <row r="2" spans="2:7" x14ac:dyDescent="0.3">
      <c r="E2" s="2" t="s">
        <v>6</v>
      </c>
      <c r="F2" s="2" t="s">
        <v>7</v>
      </c>
      <c r="G2" s="2" t="s">
        <v>8</v>
      </c>
    </row>
    <row r="3" spans="2:7" x14ac:dyDescent="0.3">
      <c r="B3" s="1" t="s">
        <v>0</v>
      </c>
      <c r="C3" t="s">
        <v>1</v>
      </c>
      <c r="D3" s="10">
        <v>8.5</v>
      </c>
      <c r="E3" s="3">
        <v>45751</v>
      </c>
      <c r="F3" s="3">
        <f ca="1">TODAY()</f>
        <v>45751</v>
      </c>
      <c r="G3" s="3">
        <v>45806</v>
      </c>
    </row>
    <row r="4" spans="2:7" x14ac:dyDescent="0.3">
      <c r="C4" t="s">
        <v>2</v>
      </c>
      <c r="D4" s="4">
        <f>316.1</f>
        <v>316.10000000000002</v>
      </c>
      <c r="E4" s="2" t="s">
        <v>69</v>
      </c>
    </row>
    <row r="5" spans="2:7" x14ac:dyDescent="0.3">
      <c r="C5" t="s">
        <v>3</v>
      </c>
      <c r="D5" s="4">
        <f>D3*D4</f>
        <v>2686.8500000000004</v>
      </c>
    </row>
    <row r="6" spans="2:7" x14ac:dyDescent="0.3">
      <c r="C6" t="s">
        <v>9</v>
      </c>
      <c r="D6" s="4">
        <f>927.7+487.9</f>
        <v>1415.6</v>
      </c>
      <c r="E6" s="2" t="s">
        <v>40</v>
      </c>
    </row>
    <row r="7" spans="2:7" x14ac:dyDescent="0.3">
      <c r="C7" t="s">
        <v>10</v>
      </c>
      <c r="D7" s="4">
        <f>4521.5+7050.7</f>
        <v>11572.2</v>
      </c>
      <c r="E7" s="2" t="s">
        <v>40</v>
      </c>
    </row>
    <row r="8" spans="2:7" x14ac:dyDescent="0.3">
      <c r="C8" t="s">
        <v>11</v>
      </c>
      <c r="D8" s="4">
        <f>D6/D13</f>
        <v>248.35087719298244</v>
      </c>
    </row>
    <row r="9" spans="2:7" x14ac:dyDescent="0.3">
      <c r="C9" t="s">
        <v>12</v>
      </c>
      <c r="D9" s="4">
        <f>D7/D13</f>
        <v>2030.2105263157896</v>
      </c>
    </row>
    <row r="10" spans="2:7" x14ac:dyDescent="0.3">
      <c r="C10" t="s">
        <v>4</v>
      </c>
      <c r="D10" s="4">
        <f>D8-D9</f>
        <v>-1781.8596491228072</v>
      </c>
    </row>
    <row r="11" spans="2:7" x14ac:dyDescent="0.3">
      <c r="C11" t="s">
        <v>5</v>
      </c>
      <c r="D11" s="4">
        <f>D5-D10</f>
        <v>4468.7096491228076</v>
      </c>
    </row>
    <row r="13" spans="2:7" x14ac:dyDescent="0.3">
      <c r="C13" t="s">
        <v>13</v>
      </c>
      <c r="D13" s="5">
        <v>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34A-0DF9-4B4E-942B-EABFE6EEF5C0}">
  <dimension ref="B2:ET32"/>
  <sheetViews>
    <sheetView tabSelected="1" workbookViewId="0">
      <pane xSplit="2" ySplit="2" topLeftCell="AD10" activePane="bottomRight" state="frozen"/>
      <selection pane="topRight" activeCell="C1" sqref="C1"/>
      <selection pane="bottomLeft" activeCell="A3" sqref="A3"/>
      <selection pane="bottomRight" activeCell="AS30" sqref="AS30"/>
    </sheetView>
  </sheetViews>
  <sheetFormatPr defaultRowHeight="14.4" x14ac:dyDescent="0.3"/>
  <cols>
    <col min="2" max="2" width="20.77734375" bestFit="1" customWidth="1"/>
    <col min="3" max="6" width="8.88671875" customWidth="1"/>
    <col min="44" max="44" width="13.21875" customWidth="1"/>
    <col min="45" max="45" width="14.109375" customWidth="1"/>
  </cols>
  <sheetData>
    <row r="2" spans="2:150" x14ac:dyDescent="0.3">
      <c r="C2" s="6" t="s">
        <v>51</v>
      </c>
      <c r="D2" s="6" t="s">
        <v>52</v>
      </c>
      <c r="E2" s="6" t="s">
        <v>53</v>
      </c>
      <c r="F2" s="6" t="s">
        <v>54</v>
      </c>
      <c r="G2" s="6" t="s">
        <v>14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65</v>
      </c>
      <c r="T2" s="6" t="s">
        <v>66</v>
      </c>
      <c r="U2" s="6" t="s">
        <v>67</v>
      </c>
      <c r="V2" s="6" t="s">
        <v>68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150" x14ac:dyDescent="0.3">
      <c r="B3" t="s">
        <v>15</v>
      </c>
      <c r="C3" s="4">
        <v>1385</v>
      </c>
      <c r="D3" s="4">
        <v>1548.1</v>
      </c>
      <c r="G3" s="4">
        <v>2054.6</v>
      </c>
      <c r="H3" s="4">
        <v>2255.6999999999998</v>
      </c>
      <c r="I3" s="4">
        <v>2292.1</v>
      </c>
      <c r="J3" s="4">
        <f>AB3-I3-H3-G3</f>
        <v>2303.9999999999995</v>
      </c>
      <c r="K3" s="4">
        <v>2151</v>
      </c>
      <c r="L3" s="4">
        <v>2166</v>
      </c>
      <c r="M3" s="4">
        <v>2269.3000000000002</v>
      </c>
      <c r="N3" s="4">
        <f>AC3-M3-L3-K3</f>
        <v>2440.9000000000005</v>
      </c>
      <c r="O3" s="4">
        <v>2369.4</v>
      </c>
      <c r="P3" s="4">
        <v>2312</v>
      </c>
      <c r="Q3" s="4">
        <v>2259.9</v>
      </c>
      <c r="R3" s="4">
        <v>2242</v>
      </c>
      <c r="S3" s="4">
        <f>O3*1.02</f>
        <v>2416.788</v>
      </c>
      <c r="T3" s="4">
        <f t="shared" ref="T3:V3" si="0">P3*1.02</f>
        <v>2358.2400000000002</v>
      </c>
      <c r="U3" s="4">
        <f t="shared" si="0"/>
        <v>2305.098</v>
      </c>
      <c r="V3" s="4">
        <f t="shared" si="0"/>
        <v>2286.84</v>
      </c>
      <c r="X3" s="4">
        <f>2267.1+374.6</f>
        <v>2641.7</v>
      </c>
      <c r="Y3" s="4">
        <f>3376.1+174.2</f>
        <v>3550.2999999999997</v>
      </c>
      <c r="Z3" s="4">
        <v>4508.7</v>
      </c>
      <c r="AA3" s="4">
        <v>6784.8</v>
      </c>
      <c r="AB3" s="4">
        <v>8906.4</v>
      </c>
      <c r="AC3" s="4">
        <v>9027.2000000000007</v>
      </c>
      <c r="AD3" s="4">
        <f>SUM(O3:R3)</f>
        <v>9183.2999999999993</v>
      </c>
      <c r="AE3" s="4">
        <f>SUM(S3:V3)</f>
        <v>9366.9660000000003</v>
      </c>
      <c r="AF3" s="4">
        <f>AE3*1.02</f>
        <v>9554.3053200000013</v>
      </c>
      <c r="AG3" s="4">
        <f>AF3*1.02</f>
        <v>9745.3914264000014</v>
      </c>
      <c r="AH3" s="4">
        <f>AG3*1.02</f>
        <v>9940.2992549280007</v>
      </c>
      <c r="AI3" s="4">
        <f>AH3*1.02</f>
        <v>10139.105240026562</v>
      </c>
      <c r="AJ3" s="4">
        <f>AI3*1.01</f>
        <v>10240.496292426827</v>
      </c>
      <c r="AK3" s="4">
        <f t="shared" ref="AK3:AO3" si="1">AJ3*1.01</f>
        <v>10342.901255351097</v>
      </c>
      <c r="AL3" s="4">
        <f t="shared" si="1"/>
        <v>10446.330267904608</v>
      </c>
      <c r="AM3" s="4">
        <f t="shared" si="1"/>
        <v>10550.793570583655</v>
      </c>
      <c r="AN3" s="4">
        <f t="shared" si="1"/>
        <v>10656.301506289492</v>
      </c>
      <c r="AO3" s="4">
        <f t="shared" si="1"/>
        <v>10762.864521352387</v>
      </c>
    </row>
    <row r="4" spans="2:150" x14ac:dyDescent="0.3">
      <c r="B4" t="s">
        <v>16</v>
      </c>
      <c r="C4" s="4">
        <v>657</v>
      </c>
      <c r="D4" s="4">
        <v>786.6</v>
      </c>
      <c r="G4" s="4">
        <v>1330.8</v>
      </c>
      <c r="H4" s="4">
        <v>1610.1</v>
      </c>
      <c r="I4" s="4">
        <v>1697.2</v>
      </c>
      <c r="J4" s="4">
        <f>AB4-I4-H4-G4</f>
        <v>1614.6000000000001</v>
      </c>
      <c r="K4" s="4">
        <v>1534.2</v>
      </c>
      <c r="L4" s="4">
        <v>1595</v>
      </c>
      <c r="M4" s="4">
        <v>1691.3</v>
      </c>
      <c r="N4" s="4">
        <f>AC4-M4-L4-K4</f>
        <v>1832.4999999999998</v>
      </c>
      <c r="O4" s="4">
        <v>1832</v>
      </c>
      <c r="P4" s="4">
        <v>2113.1</v>
      </c>
      <c r="Q4" s="4">
        <v>2444.8000000000002</v>
      </c>
      <c r="R4" s="4">
        <v>2761</v>
      </c>
      <c r="S4" s="4">
        <f>O4*1.4</f>
        <v>2564.7999999999997</v>
      </c>
      <c r="T4" s="4">
        <f t="shared" ref="T4" si="2">P4*1.4</f>
        <v>2958.3399999999997</v>
      </c>
      <c r="U4" s="4">
        <f>Q4*1.3</f>
        <v>3178.2400000000002</v>
      </c>
      <c r="V4" s="4">
        <f>R4*1.2</f>
        <v>3313.2</v>
      </c>
      <c r="X4" s="4">
        <v>1414.5</v>
      </c>
      <c r="Y4" s="4">
        <v>2030.5</v>
      </c>
      <c r="Z4" s="4">
        <v>2177.4</v>
      </c>
      <c r="AA4" s="4">
        <v>3514.4</v>
      </c>
      <c r="AB4" s="4">
        <v>6252.7</v>
      </c>
      <c r="AC4" s="4">
        <v>6653</v>
      </c>
      <c r="AD4" s="4">
        <f>SUM(O4:R4)</f>
        <v>9150.9</v>
      </c>
      <c r="AE4" s="4">
        <f>SUM(S4:V4)</f>
        <v>12014.579999999998</v>
      </c>
      <c r="AF4" s="4">
        <f>AE4*1.15</f>
        <v>13816.766999999996</v>
      </c>
      <c r="AG4" s="4">
        <f>AF4*1.08</f>
        <v>14922.108359999997</v>
      </c>
      <c r="AH4" s="4">
        <f>AG4*1.05</f>
        <v>15668.213777999998</v>
      </c>
      <c r="AI4" s="4">
        <f>AH4*1.04</f>
        <v>16294.942329119998</v>
      </c>
      <c r="AJ4" s="4">
        <f>AI4*1.03</f>
        <v>16783.790598993597</v>
      </c>
      <c r="AK4" s="4">
        <f>AJ4*1.02</f>
        <v>17119.466410973469</v>
      </c>
      <c r="AL4" s="4">
        <f t="shared" ref="AL4:AO4" si="3">AK4*1.01</f>
        <v>17290.661075083204</v>
      </c>
      <c r="AM4" s="4">
        <f t="shared" si="3"/>
        <v>17463.567685834038</v>
      </c>
      <c r="AN4" s="4">
        <f t="shared" si="3"/>
        <v>17638.203362692377</v>
      </c>
      <c r="AO4" s="4">
        <f t="shared" si="3"/>
        <v>17814.5853963193</v>
      </c>
    </row>
    <row r="5" spans="2:150" x14ac:dyDescent="0.3">
      <c r="B5" t="s">
        <v>17</v>
      </c>
      <c r="C5" s="4">
        <v>25.2</v>
      </c>
      <c r="D5" s="4">
        <v>34.9</v>
      </c>
      <c r="G5" s="4">
        <v>41.6</v>
      </c>
      <c r="H5" s="4">
        <v>44.8</v>
      </c>
      <c r="I5" s="4">
        <v>46.1</v>
      </c>
      <c r="J5" s="4">
        <f>AB5-I5-H5-G5</f>
        <v>43.300000000000018</v>
      </c>
      <c r="K5" s="4">
        <v>64.5</v>
      </c>
      <c r="L5" s="4">
        <v>64.900000000000006</v>
      </c>
      <c r="M5" s="4">
        <v>65.599999999999994</v>
      </c>
      <c r="N5" s="4">
        <f>AC5-M5-L5-K5</f>
        <v>73.100000000000023</v>
      </c>
      <c r="O5" s="4">
        <v>105.1</v>
      </c>
      <c r="P5" s="4">
        <v>131.69999999999999</v>
      </c>
      <c r="Q5" s="4">
        <v>126.8</v>
      </c>
      <c r="R5" s="4">
        <v>112</v>
      </c>
      <c r="S5" s="4">
        <f>O5*1.5</f>
        <v>157.64999999999998</v>
      </c>
      <c r="T5" s="4">
        <f>P5*1.4</f>
        <v>184.37999999999997</v>
      </c>
      <c r="U5" s="4">
        <f t="shared" ref="U5" si="4">Q5*1.5</f>
        <v>190.2</v>
      </c>
      <c r="V5" s="4">
        <f>R5*1.3</f>
        <v>145.6</v>
      </c>
      <c r="X5" s="4">
        <v>278.39999999999998</v>
      </c>
      <c r="Y5" s="4">
        <v>126.4</v>
      </c>
      <c r="Z5" s="4">
        <v>128.6</v>
      </c>
      <c r="AA5" s="4">
        <v>149.5</v>
      </c>
      <c r="AB5" s="4">
        <v>175.8</v>
      </c>
      <c r="AC5" s="4">
        <v>268.10000000000002</v>
      </c>
      <c r="AD5" s="4">
        <f>SUM(O5:R5)</f>
        <v>475.59999999999997</v>
      </c>
      <c r="AE5" s="4">
        <f>SUM(S5:V5)</f>
        <v>677.83</v>
      </c>
      <c r="AF5" s="4">
        <f>AE5*1.35</f>
        <v>915.07050000000015</v>
      </c>
      <c r="AG5" s="4">
        <f>AF5*1.3</f>
        <v>1189.5916500000003</v>
      </c>
      <c r="AH5" s="4">
        <f>AG5*1.2</f>
        <v>1427.5099800000003</v>
      </c>
      <c r="AI5" s="4">
        <f>AH5*1.15</f>
        <v>1641.6364770000002</v>
      </c>
      <c r="AJ5" s="4">
        <f>AI5*1.09</f>
        <v>1789.3837599300005</v>
      </c>
      <c r="AK5" s="4">
        <f>AJ5*1.07</f>
        <v>1914.6406231251005</v>
      </c>
      <c r="AL5" s="4">
        <f>AK5*1.05</f>
        <v>2010.3726542813556</v>
      </c>
      <c r="AM5" s="4">
        <f>AL5*1.04</f>
        <v>2090.7875604526098</v>
      </c>
      <c r="AN5" s="4">
        <f>AM5*1.03</f>
        <v>2153.5111872661882</v>
      </c>
      <c r="AO5" s="4">
        <f t="shared" ref="AO5" si="5">AN5*1.02</f>
        <v>2196.581411011512</v>
      </c>
    </row>
    <row r="6" spans="2:150" s="1" customFormat="1" x14ac:dyDescent="0.3">
      <c r="B6" s="1" t="s">
        <v>18</v>
      </c>
      <c r="C6" s="8">
        <f>SUM(C3:C5)</f>
        <v>2067.1999999999998</v>
      </c>
      <c r="D6" s="8">
        <f>SUM(D3:D5)</f>
        <v>2369.6</v>
      </c>
      <c r="G6" s="8">
        <f t="shared" ref="G6:P6" si="6">SUM(G3:G5)</f>
        <v>3426.9999999999995</v>
      </c>
      <c r="H6" s="8">
        <f t="shared" si="6"/>
        <v>3910.6</v>
      </c>
      <c r="I6" s="8">
        <f t="shared" si="6"/>
        <v>4035.4</v>
      </c>
      <c r="J6" s="8">
        <f t="shared" si="6"/>
        <v>3961.8999999999996</v>
      </c>
      <c r="K6" s="8">
        <f t="shared" si="6"/>
        <v>3749.7</v>
      </c>
      <c r="L6" s="8">
        <f t="shared" si="6"/>
        <v>3825.9</v>
      </c>
      <c r="M6" s="8">
        <f t="shared" si="6"/>
        <v>4026.2000000000003</v>
      </c>
      <c r="N6" s="8">
        <f t="shared" si="6"/>
        <v>4346.5000000000009</v>
      </c>
      <c r="O6" s="8">
        <f t="shared" si="6"/>
        <v>4306.5</v>
      </c>
      <c r="P6" s="8">
        <f t="shared" si="6"/>
        <v>4556.8</v>
      </c>
      <c r="Q6" s="8">
        <f t="shared" ref="Q6:V6" si="7">SUM(Q3:Q5)</f>
        <v>4831.5000000000009</v>
      </c>
      <c r="R6" s="8">
        <f t="shared" si="7"/>
        <v>5115</v>
      </c>
      <c r="S6" s="8">
        <f t="shared" si="7"/>
        <v>5139.2379999999994</v>
      </c>
      <c r="T6" s="8">
        <f t="shared" si="7"/>
        <v>5500.96</v>
      </c>
      <c r="U6" s="8">
        <f t="shared" si="7"/>
        <v>5673.5379999999996</v>
      </c>
      <c r="V6" s="8">
        <f t="shared" si="7"/>
        <v>5745.64</v>
      </c>
      <c r="X6" s="8">
        <f t="shared" ref="X6:AD6" si="8">SUM(X3:X5)</f>
        <v>4334.5999999999995</v>
      </c>
      <c r="Y6" s="8">
        <f t="shared" si="8"/>
        <v>5707.1999999999989</v>
      </c>
      <c r="Z6" s="8">
        <f t="shared" si="8"/>
        <v>6814.7000000000007</v>
      </c>
      <c r="AA6" s="8">
        <f t="shared" si="8"/>
        <v>10448.700000000001</v>
      </c>
      <c r="AB6" s="8">
        <f t="shared" si="8"/>
        <v>15334.899999999998</v>
      </c>
      <c r="AC6" s="8">
        <f t="shared" si="8"/>
        <v>15948.300000000001</v>
      </c>
      <c r="AD6" s="8">
        <f t="shared" si="8"/>
        <v>18809.799999999996</v>
      </c>
      <c r="AE6" s="8">
        <f t="shared" ref="AE6:AO6" si="9">SUM(AE3:AE5)</f>
        <v>22059.376</v>
      </c>
      <c r="AF6" s="8">
        <f t="shared" si="9"/>
        <v>24286.142820000001</v>
      </c>
      <c r="AG6" s="8">
        <f t="shared" si="9"/>
        <v>25857.091436399998</v>
      </c>
      <c r="AH6" s="8">
        <f t="shared" si="9"/>
        <v>27036.023012927999</v>
      </c>
      <c r="AI6" s="8">
        <f t="shared" si="9"/>
        <v>28075.684046146562</v>
      </c>
      <c r="AJ6" s="8">
        <f t="shared" si="9"/>
        <v>28813.670651350425</v>
      </c>
      <c r="AK6" s="8">
        <f t="shared" si="9"/>
        <v>29377.008289449666</v>
      </c>
      <c r="AL6" s="8">
        <f t="shared" si="9"/>
        <v>29747.363997269171</v>
      </c>
      <c r="AM6" s="8">
        <f t="shared" si="9"/>
        <v>30105.148816870304</v>
      </c>
      <c r="AN6" s="8">
        <f t="shared" si="9"/>
        <v>30448.016056248056</v>
      </c>
      <c r="AO6" s="8">
        <f t="shared" si="9"/>
        <v>30774.031328683199</v>
      </c>
    </row>
    <row r="7" spans="2:150" x14ac:dyDescent="0.3">
      <c r="B7" t="s">
        <v>19</v>
      </c>
      <c r="C7" s="4">
        <v>1146.0999999999999</v>
      </c>
      <c r="D7" s="4">
        <v>1295.0999999999999</v>
      </c>
      <c r="G7" s="4">
        <v>1739.4</v>
      </c>
      <c r="H7" s="4">
        <v>1900.3</v>
      </c>
      <c r="I7" s="4">
        <v>1862.2</v>
      </c>
      <c r="J7" s="4">
        <f>AB7-I7-H7-G7</f>
        <v>1968.9999999999995</v>
      </c>
      <c r="K7" s="4">
        <v>1929.3</v>
      </c>
      <c r="L7" s="4">
        <v>1926.1</v>
      </c>
      <c r="M7" s="4">
        <v>2033.3</v>
      </c>
      <c r="N7" s="4">
        <f>AC7-M7-L7-K7</f>
        <v>2243.9000000000005</v>
      </c>
      <c r="O7" s="4">
        <v>2170.6999999999998</v>
      </c>
      <c r="P7" s="4">
        <v>2332.1999999999998</v>
      </c>
      <c r="Q7" s="4">
        <v>2455.4</v>
      </c>
      <c r="R7" s="4">
        <v>2585</v>
      </c>
      <c r="S7" s="4">
        <f>S6-S8</f>
        <v>2569.6189999999997</v>
      </c>
      <c r="T7" s="4">
        <f t="shared" ref="T7:V7" si="10">T6-T8</f>
        <v>2750.48</v>
      </c>
      <c r="U7" s="4">
        <f t="shared" si="10"/>
        <v>2893.5043799999999</v>
      </c>
      <c r="V7" s="4">
        <f t="shared" si="10"/>
        <v>2987.7328000000002</v>
      </c>
      <c r="X7" s="4">
        <v>2144.6999999999998</v>
      </c>
      <c r="Y7" s="4">
        <v>2762.1</v>
      </c>
      <c r="Z7" s="4">
        <v>3772.3</v>
      </c>
      <c r="AA7" s="4">
        <v>5775.9</v>
      </c>
      <c r="AB7" s="4">
        <v>7470.9</v>
      </c>
      <c r="AC7" s="4">
        <v>8132.6</v>
      </c>
      <c r="AD7" s="4">
        <f>SUM(O7:R7)</f>
        <v>9543.2999999999993</v>
      </c>
      <c r="AE7" s="4">
        <f>SUM(S7:V7)</f>
        <v>11201.33618</v>
      </c>
      <c r="AF7" s="4">
        <f t="shared" ref="AF7:AO7" si="11">AF6-AF8</f>
        <v>12385.9328382</v>
      </c>
      <c r="AG7" s="4">
        <f t="shared" si="11"/>
        <v>13187.116632563999</v>
      </c>
      <c r="AH7" s="4">
        <f t="shared" si="11"/>
        <v>13788.371736593279</v>
      </c>
      <c r="AI7" s="4">
        <f t="shared" si="11"/>
        <v>14318.598863534748</v>
      </c>
      <c r="AJ7" s="4">
        <f t="shared" si="11"/>
        <v>14694.972032188716</v>
      </c>
      <c r="AK7" s="4">
        <f t="shared" si="11"/>
        <v>14982.274227619329</v>
      </c>
      <c r="AL7" s="4">
        <f t="shared" si="11"/>
        <v>15171.155638607277</v>
      </c>
      <c r="AM7" s="4">
        <f t="shared" si="11"/>
        <v>15353.625896603855</v>
      </c>
      <c r="AN7" s="4">
        <f t="shared" si="11"/>
        <v>15528.48818868651</v>
      </c>
      <c r="AO7" s="4">
        <f t="shared" si="11"/>
        <v>15694.755977628432</v>
      </c>
    </row>
    <row r="8" spans="2:150" s="1" customFormat="1" x14ac:dyDescent="0.3">
      <c r="B8" s="1" t="s">
        <v>20</v>
      </c>
      <c r="C8" s="8">
        <f>C6-C7</f>
        <v>921.09999999999991</v>
      </c>
      <c r="D8" s="8">
        <f>D6-D7</f>
        <v>1074.5</v>
      </c>
      <c r="G8" s="8">
        <f t="shared" ref="G8:Q8" si="12">G6-G7</f>
        <v>1687.5999999999995</v>
      </c>
      <c r="H8" s="8">
        <f t="shared" si="12"/>
        <v>2010.3</v>
      </c>
      <c r="I8" s="8">
        <f t="shared" si="12"/>
        <v>2173.1999999999998</v>
      </c>
      <c r="J8" s="8">
        <f t="shared" si="12"/>
        <v>1992.9</v>
      </c>
      <c r="K8" s="8">
        <f t="shared" si="12"/>
        <v>1820.3999999999999</v>
      </c>
      <c r="L8" s="8">
        <f t="shared" si="12"/>
        <v>1899.8000000000002</v>
      </c>
      <c r="M8" s="8">
        <f t="shared" si="12"/>
        <v>1992.9000000000003</v>
      </c>
      <c r="N8" s="8">
        <f t="shared" si="12"/>
        <v>2102.6000000000004</v>
      </c>
      <c r="O8" s="8">
        <f t="shared" si="12"/>
        <v>2135.8000000000002</v>
      </c>
      <c r="P8" s="8">
        <f t="shared" si="12"/>
        <v>2224.6000000000004</v>
      </c>
      <c r="Q8" s="8">
        <f t="shared" si="12"/>
        <v>2376.1000000000008</v>
      </c>
      <c r="R8" s="8">
        <f>R6*0.48</f>
        <v>2455.1999999999998</v>
      </c>
      <c r="S8" s="8">
        <f>S6*0.5</f>
        <v>2569.6189999999997</v>
      </c>
      <c r="T8" s="8">
        <f t="shared" ref="T8" si="13">T6*0.5</f>
        <v>2750.48</v>
      </c>
      <c r="U8" s="8">
        <f>U6*0.49</f>
        <v>2780.0336199999997</v>
      </c>
      <c r="V8" s="8">
        <f>V6*0.48</f>
        <v>2757.9072000000001</v>
      </c>
      <c r="X8" s="8">
        <f t="shared" ref="X8:AE8" si="14">X6-X7</f>
        <v>2189.8999999999996</v>
      </c>
      <c r="Y8" s="8">
        <f t="shared" si="14"/>
        <v>2945.099999999999</v>
      </c>
      <c r="Z8" s="8">
        <f t="shared" si="14"/>
        <v>3042.4000000000005</v>
      </c>
      <c r="AA8" s="8">
        <f t="shared" si="14"/>
        <v>4672.8000000000011</v>
      </c>
      <c r="AB8" s="8">
        <f t="shared" si="14"/>
        <v>7863.9999999999982</v>
      </c>
      <c r="AC8" s="8">
        <f t="shared" si="14"/>
        <v>7815.7000000000007</v>
      </c>
      <c r="AD8" s="8">
        <f t="shared" si="14"/>
        <v>9266.4999999999964</v>
      </c>
      <c r="AE8" s="8">
        <f t="shared" si="14"/>
        <v>10858.03982</v>
      </c>
      <c r="AF8" s="8">
        <f t="shared" ref="AF8:AO8" si="15">AF6*0.49</f>
        <v>11900.209981800001</v>
      </c>
      <c r="AG8" s="8">
        <f t="shared" si="15"/>
        <v>12669.974803835999</v>
      </c>
      <c r="AH8" s="8">
        <f t="shared" si="15"/>
        <v>13247.65127633472</v>
      </c>
      <c r="AI8" s="8">
        <f t="shared" si="15"/>
        <v>13757.085182611814</v>
      </c>
      <c r="AJ8" s="8">
        <f t="shared" si="15"/>
        <v>14118.698619161709</v>
      </c>
      <c r="AK8" s="8">
        <f t="shared" si="15"/>
        <v>14394.734061830337</v>
      </c>
      <c r="AL8" s="8">
        <f t="shared" si="15"/>
        <v>14576.208358661894</v>
      </c>
      <c r="AM8" s="8">
        <f t="shared" si="15"/>
        <v>14751.522920266449</v>
      </c>
      <c r="AN8" s="8">
        <f t="shared" si="15"/>
        <v>14919.527867561546</v>
      </c>
      <c r="AO8" s="8">
        <f t="shared" si="15"/>
        <v>15079.275351054766</v>
      </c>
    </row>
    <row r="9" spans="2:150" x14ac:dyDescent="0.3">
      <c r="B9" t="s">
        <v>21</v>
      </c>
      <c r="C9" s="4">
        <v>368.1</v>
      </c>
      <c r="D9" s="4">
        <v>363.8</v>
      </c>
      <c r="G9" s="4">
        <v>480.7</v>
      </c>
      <c r="H9" s="4">
        <v>499.1</v>
      </c>
      <c r="I9" s="4">
        <v>530.79999999999995</v>
      </c>
      <c r="J9" s="4">
        <f>AB9-I9-H9-G9</f>
        <v>435.49999999999994</v>
      </c>
      <c r="K9" s="4">
        <v>317.89999999999998</v>
      </c>
      <c r="L9" s="4">
        <v>321.39999999999998</v>
      </c>
      <c r="M9" s="4">
        <v>378.2</v>
      </c>
      <c r="N9" s="4">
        <f>AC9-M9-L9-K9</f>
        <v>412.29999999999995</v>
      </c>
      <c r="O9" s="4">
        <v>437.4</v>
      </c>
      <c r="P9" s="4">
        <v>467.3</v>
      </c>
      <c r="Q9" s="4">
        <v>487</v>
      </c>
      <c r="R9" s="4">
        <v>468</v>
      </c>
      <c r="S9" s="4">
        <f>S6*0.1</f>
        <v>513.92379999999991</v>
      </c>
      <c r="T9" s="4">
        <f t="shared" ref="T9:U9" si="16">T6*0.1</f>
        <v>550.096</v>
      </c>
      <c r="U9" s="4">
        <f t="shared" si="16"/>
        <v>567.35379999999998</v>
      </c>
      <c r="V9" s="4">
        <f>V6*0.09</f>
        <v>517.10760000000005</v>
      </c>
      <c r="X9" s="4">
        <v>351.4</v>
      </c>
      <c r="Y9" s="4">
        <v>565.20000000000005</v>
      </c>
      <c r="Z9" s="4">
        <v>617.5</v>
      </c>
      <c r="AA9" s="4">
        <v>1523.9</v>
      </c>
      <c r="AB9" s="4">
        <v>1946.1</v>
      </c>
      <c r="AC9" s="4">
        <v>1429.8</v>
      </c>
      <c r="AD9" s="4">
        <f>SUM(O9:R9)</f>
        <v>1859.7</v>
      </c>
      <c r="AE9" s="4">
        <f>SUM(S9:V9)</f>
        <v>2148.4812000000002</v>
      </c>
      <c r="AF9" s="4">
        <f t="shared" ref="AF9:AO9" si="17">AF6*0.1</f>
        <v>2428.614282</v>
      </c>
      <c r="AG9" s="4">
        <f t="shared" si="17"/>
        <v>2585.7091436400001</v>
      </c>
      <c r="AH9" s="4">
        <f t="shared" si="17"/>
        <v>2703.6023012927999</v>
      </c>
      <c r="AI9" s="4">
        <f t="shared" si="17"/>
        <v>2807.5684046146562</v>
      </c>
      <c r="AJ9" s="4">
        <f t="shared" si="17"/>
        <v>2881.3670651350426</v>
      </c>
      <c r="AK9" s="4">
        <f t="shared" si="17"/>
        <v>2937.7008289449668</v>
      </c>
      <c r="AL9" s="4">
        <f t="shared" si="17"/>
        <v>2974.7363997269172</v>
      </c>
      <c r="AM9" s="4">
        <f t="shared" si="17"/>
        <v>3010.5148816870305</v>
      </c>
      <c r="AN9" s="4">
        <f t="shared" si="17"/>
        <v>3044.8016056248057</v>
      </c>
      <c r="AO9" s="4">
        <f t="shared" si="17"/>
        <v>3077.40313286832</v>
      </c>
    </row>
    <row r="10" spans="2:150" x14ac:dyDescent="0.3">
      <c r="B10" t="s">
        <v>22</v>
      </c>
      <c r="C10" s="4">
        <v>189.1</v>
      </c>
      <c r="D10" s="4">
        <v>225.9</v>
      </c>
      <c r="G10" s="4">
        <v>165.3</v>
      </c>
      <c r="H10" s="4">
        <v>203.9</v>
      </c>
      <c r="I10" s="4">
        <v>185.3</v>
      </c>
      <c r="J10" s="4">
        <f>AB10-I10-H10-G10</f>
        <v>114.19999999999999</v>
      </c>
      <c r="K10" s="4">
        <v>171.4</v>
      </c>
      <c r="L10" s="4">
        <v>203.4</v>
      </c>
      <c r="M10" s="4">
        <v>206.3</v>
      </c>
      <c r="N10" s="4">
        <f>AC10-M10-L10-K10</f>
        <v>151.60000000000011</v>
      </c>
      <c r="O10" s="4">
        <v>230.6</v>
      </c>
      <c r="P10" s="4">
        <v>216.2</v>
      </c>
      <c r="Q10" s="4">
        <v>268.5</v>
      </c>
      <c r="R10" s="4">
        <v>257</v>
      </c>
      <c r="S10" s="4">
        <f>O10*1.3</f>
        <v>299.78000000000003</v>
      </c>
      <c r="T10" s="4">
        <f t="shared" ref="T10" si="18">P10*1.5</f>
        <v>324.29999999999995</v>
      </c>
      <c r="U10" s="4">
        <f>Q10*1.3</f>
        <v>349.05</v>
      </c>
      <c r="V10" s="4">
        <f>R10*1.3</f>
        <v>334.1</v>
      </c>
      <c r="X10" s="4">
        <v>581.70000000000005</v>
      </c>
      <c r="Y10" s="4">
        <v>427.4</v>
      </c>
      <c r="Z10" s="4">
        <v>563.9</v>
      </c>
      <c r="AA10" s="4">
        <v>877.6</v>
      </c>
      <c r="AB10" s="4">
        <v>668.7</v>
      </c>
      <c r="AC10" s="4">
        <v>732.7</v>
      </c>
      <c r="AD10" s="4">
        <f>SUM(O10:R10)</f>
        <v>972.3</v>
      </c>
      <c r="AE10" s="4">
        <f>SUM(S10:V10)</f>
        <v>1307.23</v>
      </c>
      <c r="AF10" s="4">
        <f>AE10*1.2</f>
        <v>1568.6759999999999</v>
      </c>
      <c r="AG10" s="4">
        <f>AF10*1.1</f>
        <v>1725.5436</v>
      </c>
      <c r="AH10" s="4">
        <f>AG10*1.05</f>
        <v>1811.82078</v>
      </c>
      <c r="AI10" s="4">
        <f>AH10*1.04</f>
        <v>1884.2936112</v>
      </c>
      <c r="AJ10" s="4">
        <f>AI10*1.03</f>
        <v>1940.8224195360001</v>
      </c>
      <c r="AK10" s="4">
        <f t="shared" ref="AK10:AO10" si="19">AJ10*1.02</f>
        <v>1979.6388679267202</v>
      </c>
      <c r="AL10" s="4">
        <f t="shared" si="19"/>
        <v>2019.2316452852547</v>
      </c>
      <c r="AM10" s="4">
        <f t="shared" si="19"/>
        <v>2059.6162781909597</v>
      </c>
      <c r="AN10" s="4">
        <f t="shared" si="19"/>
        <v>2100.8086037547791</v>
      </c>
      <c r="AO10" s="4">
        <f t="shared" si="19"/>
        <v>2142.8247758298749</v>
      </c>
    </row>
    <row r="11" spans="2:150" x14ac:dyDescent="0.3">
      <c r="B11" t="s">
        <v>24</v>
      </c>
      <c r="C11" s="4">
        <v>44.4</v>
      </c>
      <c r="D11" s="4">
        <v>133.80000000000001</v>
      </c>
      <c r="G11" s="4">
        <v>620.6</v>
      </c>
      <c r="H11" s="4">
        <v>755.6</v>
      </c>
      <c r="I11" s="4">
        <v>920.7</v>
      </c>
      <c r="J11" s="4">
        <f>AB11-I11-H11-G11</f>
        <v>854.6999999999997</v>
      </c>
      <c r="K11" s="4">
        <v>813</v>
      </c>
      <c r="L11" s="4">
        <v>795.6</v>
      </c>
      <c r="M11" s="4">
        <v>819.9</v>
      </c>
      <c r="N11" s="4">
        <f>AC11-M11-L11-K11</f>
        <v>841.09999999999991</v>
      </c>
      <c r="O11" s="4">
        <v>827.1</v>
      </c>
      <c r="P11" s="4">
        <v>863.4</v>
      </c>
      <c r="Q11" s="4">
        <v>964.3</v>
      </c>
      <c r="R11" s="4">
        <v>1092</v>
      </c>
      <c r="S11" s="4">
        <f>O11*1.15</f>
        <v>951.16499999999996</v>
      </c>
      <c r="T11" s="4">
        <f>P11*1.15</f>
        <v>992.90999999999985</v>
      </c>
      <c r="U11" s="4">
        <f>Q11*1.05</f>
        <v>1012.515</v>
      </c>
      <c r="V11" s="4">
        <f t="shared" ref="V11" si="20">R11*1.05</f>
        <v>1146.6000000000001</v>
      </c>
      <c r="X11" s="4">
        <v>31.2</v>
      </c>
      <c r="Y11" s="4">
        <v>38.1</v>
      </c>
      <c r="Z11" s="4">
        <v>109.2</v>
      </c>
      <c r="AA11" s="4">
        <v>790.6</v>
      </c>
      <c r="AB11" s="4">
        <v>3151.6</v>
      </c>
      <c r="AC11" s="4">
        <v>3269.6</v>
      </c>
      <c r="AD11" s="4">
        <f>SUM(O11:R11)</f>
        <v>3746.8</v>
      </c>
      <c r="AE11" s="4">
        <f>SUM(S11:V11)</f>
        <v>4103.1899999999996</v>
      </c>
      <c r="AF11" s="4">
        <f>AE11*1.05</f>
        <v>4308.3494999999994</v>
      </c>
      <c r="AG11" s="4">
        <f>AF11*1.04</f>
        <v>4480.6834799999997</v>
      </c>
      <c r="AH11" s="4">
        <f>AG11*1.03</f>
        <v>4615.1039843999997</v>
      </c>
      <c r="AI11" s="4">
        <f t="shared" ref="AI11:AO11" si="21">AH11*1.02</f>
        <v>4707.4060640879998</v>
      </c>
      <c r="AJ11" s="4">
        <f t="shared" si="21"/>
        <v>4801.5541853697596</v>
      </c>
      <c r="AK11" s="4">
        <f t="shared" si="21"/>
        <v>4897.5852690771544</v>
      </c>
      <c r="AL11" s="4">
        <f t="shared" si="21"/>
        <v>4995.5369744586978</v>
      </c>
      <c r="AM11" s="4">
        <f t="shared" si="21"/>
        <v>5095.4477139478722</v>
      </c>
      <c r="AN11" s="4">
        <f t="shared" si="21"/>
        <v>5197.3566682268302</v>
      </c>
      <c r="AO11" s="4">
        <f t="shared" si="21"/>
        <v>5301.3038015913671</v>
      </c>
    </row>
    <row r="12" spans="2:150" s="1" customFormat="1" x14ac:dyDescent="0.3">
      <c r="B12" s="1" t="s">
        <v>23</v>
      </c>
      <c r="C12" s="8">
        <f>C8-SUM(C9:C11)</f>
        <v>319.49999999999989</v>
      </c>
      <c r="D12" s="8">
        <f>D8-SUM(D9:D11)</f>
        <v>351</v>
      </c>
      <c r="G12" s="8">
        <f t="shared" ref="G12:P12" si="22">G8-SUM(G9:G11)</f>
        <v>420.99999999999955</v>
      </c>
      <c r="H12" s="8">
        <f t="shared" si="22"/>
        <v>551.70000000000005</v>
      </c>
      <c r="I12" s="8">
        <f t="shared" si="22"/>
        <v>536.39999999999986</v>
      </c>
      <c r="J12" s="8">
        <f t="shared" si="22"/>
        <v>588.50000000000045</v>
      </c>
      <c r="K12" s="8">
        <f t="shared" si="22"/>
        <v>518.09999999999991</v>
      </c>
      <c r="L12" s="8">
        <f t="shared" si="22"/>
        <v>579.40000000000009</v>
      </c>
      <c r="M12" s="8">
        <f t="shared" si="22"/>
        <v>588.50000000000023</v>
      </c>
      <c r="N12" s="8">
        <f t="shared" si="22"/>
        <v>697.60000000000036</v>
      </c>
      <c r="O12" s="8">
        <f t="shared" si="22"/>
        <v>640.70000000000027</v>
      </c>
      <c r="P12" s="8">
        <f t="shared" si="22"/>
        <v>677.70000000000027</v>
      </c>
      <c r="Q12" s="8">
        <f t="shared" ref="Q12:V12" si="23">Q8-SUM(Q9:Q11)</f>
        <v>656.30000000000086</v>
      </c>
      <c r="R12" s="8">
        <f t="shared" si="23"/>
        <v>638.19999999999982</v>
      </c>
      <c r="S12" s="8">
        <f t="shared" si="23"/>
        <v>804.75019999999972</v>
      </c>
      <c r="T12" s="8">
        <f t="shared" si="23"/>
        <v>883.17400000000021</v>
      </c>
      <c r="U12" s="8">
        <f t="shared" si="23"/>
        <v>851.11481999999978</v>
      </c>
      <c r="V12" s="8">
        <f t="shared" si="23"/>
        <v>760.09960000000001</v>
      </c>
      <c r="X12" s="8">
        <f t="shared" ref="X12:AD12" si="24">X8-SUM(X9:X11)</f>
        <v>1225.5999999999995</v>
      </c>
      <c r="Y12" s="8">
        <f t="shared" si="24"/>
        <v>1914.399999999999</v>
      </c>
      <c r="Z12" s="8">
        <f t="shared" si="24"/>
        <v>1751.8000000000004</v>
      </c>
      <c r="AA12" s="8">
        <f t="shared" si="24"/>
        <v>1480.7000000000012</v>
      </c>
      <c r="AB12" s="8">
        <f t="shared" si="24"/>
        <v>2097.5999999999985</v>
      </c>
      <c r="AC12" s="8">
        <f t="shared" si="24"/>
        <v>2383.6000000000004</v>
      </c>
      <c r="AD12" s="8">
        <f t="shared" si="24"/>
        <v>2687.6999999999962</v>
      </c>
      <c r="AE12" s="8">
        <f t="shared" ref="AE12:AO12" si="25">AE8-SUM(AE9:AE11)</f>
        <v>3299.1386199999997</v>
      </c>
      <c r="AF12" s="8">
        <f t="shared" si="25"/>
        <v>3594.5701998000022</v>
      </c>
      <c r="AG12" s="8">
        <f t="shared" si="25"/>
        <v>3878.0385801960001</v>
      </c>
      <c r="AH12" s="8">
        <f t="shared" si="25"/>
        <v>4117.1242106419195</v>
      </c>
      <c r="AI12" s="8">
        <f t="shared" si="25"/>
        <v>4357.8171027091576</v>
      </c>
      <c r="AJ12" s="8">
        <f t="shared" si="25"/>
        <v>4494.9549491209054</v>
      </c>
      <c r="AK12" s="8">
        <f t="shared" si="25"/>
        <v>4579.8090958814955</v>
      </c>
      <c r="AL12" s="8">
        <f t="shared" si="25"/>
        <v>4586.7033391910227</v>
      </c>
      <c r="AM12" s="8">
        <f t="shared" si="25"/>
        <v>4585.9440464405852</v>
      </c>
      <c r="AN12" s="8">
        <f t="shared" si="25"/>
        <v>4576.5609899551309</v>
      </c>
      <c r="AO12" s="8">
        <f t="shared" si="25"/>
        <v>4557.7436407652058</v>
      </c>
    </row>
    <row r="13" spans="2:150" x14ac:dyDescent="0.3">
      <c r="B13" t="s">
        <v>25</v>
      </c>
      <c r="C13" s="4">
        <v>-40.799999999999997</v>
      </c>
      <c r="D13" s="4">
        <v>13</v>
      </c>
      <c r="G13" s="4">
        <v>4.5</v>
      </c>
      <c r="H13" s="4">
        <v>109</v>
      </c>
      <c r="I13" s="4">
        <v>111.1</v>
      </c>
      <c r="J13" s="4">
        <f>AB13-I13-H13-G13</f>
        <v>113.79999999999998</v>
      </c>
      <c r="K13" s="4">
        <v>82.2</v>
      </c>
      <c r="L13" s="4">
        <v>94.1</v>
      </c>
      <c r="M13" s="4">
        <v>76.3</v>
      </c>
      <c r="N13" s="4">
        <f>AC13-M13-L13-K13</f>
        <v>114.09999999999998</v>
      </c>
      <c r="O13" s="4">
        <v>68.2</v>
      </c>
      <c r="P13" s="4">
        <v>99.9</v>
      </c>
      <c r="Q13" s="4">
        <v>62.8</v>
      </c>
      <c r="R13" s="4">
        <v>77</v>
      </c>
      <c r="S13" s="4">
        <f>O13*1.02</f>
        <v>69.564000000000007</v>
      </c>
      <c r="T13" s="4">
        <f t="shared" ref="T13:V13" si="26">P13*1.02</f>
        <v>101.89800000000001</v>
      </c>
      <c r="U13" s="4">
        <f t="shared" si="26"/>
        <v>64.055999999999997</v>
      </c>
      <c r="V13" s="4">
        <f t="shared" si="26"/>
        <v>78.540000000000006</v>
      </c>
      <c r="X13" s="4">
        <v>8.1</v>
      </c>
      <c r="Y13" s="4">
        <v>1.9</v>
      </c>
      <c r="Z13" s="4">
        <v>-22.9</v>
      </c>
      <c r="AA13" s="4">
        <v>-7.3</v>
      </c>
      <c r="AB13" s="4">
        <v>338.4</v>
      </c>
      <c r="AC13" s="4">
        <v>366.7</v>
      </c>
      <c r="AD13" s="4">
        <f>SUM(O13:R13)</f>
        <v>307.90000000000003</v>
      </c>
      <c r="AE13" s="4">
        <f>SUM(S13:V13)</f>
        <v>314.05800000000005</v>
      </c>
      <c r="AF13" s="4">
        <f t="shared" ref="AF13:AO13" si="27">AE13*1.03</f>
        <v>323.47974000000005</v>
      </c>
      <c r="AG13" s="4">
        <f t="shared" si="27"/>
        <v>333.18413220000008</v>
      </c>
      <c r="AH13" s="4">
        <f t="shared" si="27"/>
        <v>343.17965616600009</v>
      </c>
      <c r="AI13" s="4">
        <f t="shared" si="27"/>
        <v>353.47504585098011</v>
      </c>
      <c r="AJ13" s="4">
        <f t="shared" si="27"/>
        <v>364.07929722650954</v>
      </c>
      <c r="AK13" s="4">
        <f t="shared" si="27"/>
        <v>375.00167614330485</v>
      </c>
      <c r="AL13" s="4">
        <f t="shared" si="27"/>
        <v>386.25172642760401</v>
      </c>
      <c r="AM13" s="4">
        <f t="shared" si="27"/>
        <v>397.83927822043216</v>
      </c>
      <c r="AN13" s="4">
        <f t="shared" si="27"/>
        <v>409.77445656704515</v>
      </c>
      <c r="AO13" s="4">
        <f t="shared" si="27"/>
        <v>422.06769026405652</v>
      </c>
    </row>
    <row r="14" spans="2:150" s="1" customFormat="1" x14ac:dyDescent="0.3">
      <c r="B14" s="1" t="s">
        <v>26</v>
      </c>
      <c r="C14" s="8">
        <f>C12-C13</f>
        <v>360.2999999999999</v>
      </c>
      <c r="D14" s="8">
        <f>D12-D13</f>
        <v>338</v>
      </c>
      <c r="G14" s="8">
        <f t="shared" ref="G14:P14" si="28">G12-G13</f>
        <v>416.49999999999955</v>
      </c>
      <c r="H14" s="8">
        <f t="shared" si="28"/>
        <v>442.70000000000005</v>
      </c>
      <c r="I14" s="8">
        <f t="shared" si="28"/>
        <v>425.29999999999984</v>
      </c>
      <c r="J14" s="8">
        <f t="shared" si="28"/>
        <v>474.7000000000005</v>
      </c>
      <c r="K14" s="8">
        <f t="shared" si="28"/>
        <v>435.89999999999992</v>
      </c>
      <c r="L14" s="8">
        <f t="shared" si="28"/>
        <v>485.30000000000007</v>
      </c>
      <c r="M14" s="8">
        <f t="shared" si="28"/>
        <v>512.20000000000027</v>
      </c>
      <c r="N14" s="8">
        <f t="shared" si="28"/>
        <v>583.50000000000034</v>
      </c>
      <c r="O14" s="8">
        <f t="shared" si="28"/>
        <v>572.50000000000023</v>
      </c>
      <c r="P14" s="8">
        <f t="shared" si="28"/>
        <v>577.8000000000003</v>
      </c>
      <c r="Q14" s="8">
        <f t="shared" ref="Q14:V14" si="29">Q12-Q13</f>
        <v>593.50000000000091</v>
      </c>
      <c r="R14" s="8">
        <f t="shared" si="29"/>
        <v>561.19999999999982</v>
      </c>
      <c r="S14" s="8">
        <f t="shared" si="29"/>
        <v>735.18619999999976</v>
      </c>
      <c r="T14" s="8">
        <f t="shared" si="29"/>
        <v>781.27600000000018</v>
      </c>
      <c r="U14" s="8">
        <f t="shared" si="29"/>
        <v>787.05881999999974</v>
      </c>
      <c r="V14" s="8">
        <f t="shared" si="29"/>
        <v>681.55960000000005</v>
      </c>
      <c r="X14" s="8">
        <f t="shared" ref="X14:AD14" si="30">X12-X13</f>
        <v>1217.4999999999995</v>
      </c>
      <c r="Y14" s="8">
        <f t="shared" si="30"/>
        <v>1912.4999999999989</v>
      </c>
      <c r="Z14" s="8">
        <f t="shared" si="30"/>
        <v>1774.7000000000005</v>
      </c>
      <c r="AA14" s="8">
        <f t="shared" si="30"/>
        <v>1488.0000000000011</v>
      </c>
      <c r="AB14" s="8">
        <f t="shared" si="30"/>
        <v>1759.1999999999985</v>
      </c>
      <c r="AC14" s="8">
        <f t="shared" si="30"/>
        <v>2016.9000000000003</v>
      </c>
      <c r="AD14" s="8">
        <f t="shared" si="30"/>
        <v>2379.7999999999961</v>
      </c>
      <c r="AE14" s="8">
        <f t="shared" ref="AE14:AO14" si="31">AE12-AE13</f>
        <v>2985.0806199999997</v>
      </c>
      <c r="AF14" s="8">
        <f t="shared" si="31"/>
        <v>3271.090459800002</v>
      </c>
      <c r="AG14" s="8">
        <f t="shared" si="31"/>
        <v>3544.8544479960001</v>
      </c>
      <c r="AH14" s="8">
        <f t="shared" si="31"/>
        <v>3773.9445544759192</v>
      </c>
      <c r="AI14" s="8">
        <f t="shared" si="31"/>
        <v>4004.3420568581773</v>
      </c>
      <c r="AJ14" s="8">
        <f t="shared" si="31"/>
        <v>4130.8756518943956</v>
      </c>
      <c r="AK14" s="8">
        <f t="shared" si="31"/>
        <v>4204.8074197381902</v>
      </c>
      <c r="AL14" s="8">
        <f t="shared" si="31"/>
        <v>4200.4516127634188</v>
      </c>
      <c r="AM14" s="8">
        <f t="shared" si="31"/>
        <v>4188.1047682201533</v>
      </c>
      <c r="AN14" s="8">
        <f t="shared" si="31"/>
        <v>4166.7865333880854</v>
      </c>
      <c r="AO14" s="8">
        <f t="shared" si="31"/>
        <v>4135.6759505011496</v>
      </c>
    </row>
    <row r="15" spans="2:150" x14ac:dyDescent="0.3">
      <c r="B15" t="s">
        <v>27</v>
      </c>
      <c r="C15" s="4">
        <v>89</v>
      </c>
      <c r="D15" s="4">
        <v>66</v>
      </c>
      <c r="G15" s="4">
        <v>66.599999999999994</v>
      </c>
      <c r="H15" s="4">
        <v>75.8</v>
      </c>
      <c r="I15" s="4">
        <v>45</v>
      </c>
      <c r="J15" s="4">
        <f>AB15-I15-H15-G15</f>
        <v>67.099999999999994</v>
      </c>
      <c r="K15" s="12">
        <v>66.2</v>
      </c>
      <c r="L15" s="12">
        <v>57.9</v>
      </c>
      <c r="M15" s="12">
        <v>101.3</v>
      </c>
      <c r="N15" s="4">
        <f>AC15-M15-L15-K15</f>
        <v>137.99999999999994</v>
      </c>
      <c r="O15" s="4">
        <v>89.8</v>
      </c>
      <c r="P15" s="4">
        <v>74.099999999999994</v>
      </c>
      <c r="Q15" s="4">
        <f>11.2+51.2</f>
        <v>62.400000000000006</v>
      </c>
      <c r="R15" s="4">
        <f>-95+58</f>
        <v>-37</v>
      </c>
      <c r="S15" s="4">
        <f>S14*0.18</f>
        <v>132.33351599999995</v>
      </c>
      <c r="T15" s="4">
        <f t="shared" ref="T15:V15" si="32">T14*0.18</f>
        <v>140.62968000000004</v>
      </c>
      <c r="U15" s="4">
        <f t="shared" si="32"/>
        <v>141.67058759999995</v>
      </c>
      <c r="V15" s="4">
        <f t="shared" si="32"/>
        <v>122.680728</v>
      </c>
      <c r="X15" s="4">
        <v>307.2</v>
      </c>
      <c r="Y15" s="4">
        <v>545.5</v>
      </c>
      <c r="Z15" s="4">
        <v>482.4</v>
      </c>
      <c r="AA15" s="4">
        <v>321.7</v>
      </c>
      <c r="AB15" s="4">
        <v>254.5</v>
      </c>
      <c r="AC15" s="4">
        <v>363.4</v>
      </c>
      <c r="AD15" s="4">
        <f>SUM(O15:R15)</f>
        <v>189.29999999999998</v>
      </c>
      <c r="AE15" s="4">
        <f>SUM(S15:V15)</f>
        <v>537.31451159999995</v>
      </c>
      <c r="AF15" s="4">
        <f t="shared" ref="AF15:AO15" si="33">AF14*0.18</f>
        <v>588.79628276400035</v>
      </c>
      <c r="AG15" s="4">
        <f t="shared" si="33"/>
        <v>638.07380063927997</v>
      </c>
      <c r="AH15" s="4">
        <f t="shared" si="33"/>
        <v>679.31001980566543</v>
      </c>
      <c r="AI15" s="4">
        <f t="shared" si="33"/>
        <v>720.78157023447193</v>
      </c>
      <c r="AJ15" s="4">
        <f t="shared" si="33"/>
        <v>743.55761734099121</v>
      </c>
      <c r="AK15" s="4">
        <f t="shared" si="33"/>
        <v>756.86533555287417</v>
      </c>
      <c r="AL15" s="4">
        <f t="shared" si="33"/>
        <v>756.08129029741531</v>
      </c>
      <c r="AM15" s="4">
        <f t="shared" si="33"/>
        <v>753.85885827962761</v>
      </c>
      <c r="AN15" s="4">
        <f t="shared" si="33"/>
        <v>750.02157600985538</v>
      </c>
      <c r="AO15" s="4">
        <f t="shared" si="33"/>
        <v>744.42167109020693</v>
      </c>
    </row>
    <row r="16" spans="2:150" s="1" customFormat="1" x14ac:dyDescent="0.3">
      <c r="B16" s="1" t="s">
        <v>28</v>
      </c>
      <c r="C16" s="8">
        <f>C14-C15</f>
        <v>271.2999999999999</v>
      </c>
      <c r="D16" s="8">
        <f>D14-D15</f>
        <v>272</v>
      </c>
      <c r="G16" s="8">
        <f t="shared" ref="G16:P16" si="34">G14-G15</f>
        <v>349.89999999999952</v>
      </c>
      <c r="H16" s="8">
        <f t="shared" si="34"/>
        <v>366.90000000000003</v>
      </c>
      <c r="I16" s="8">
        <f t="shared" si="34"/>
        <v>380.29999999999984</v>
      </c>
      <c r="J16" s="8">
        <f t="shared" si="34"/>
        <v>407.60000000000048</v>
      </c>
      <c r="K16" s="8">
        <f t="shared" si="34"/>
        <v>369.69999999999993</v>
      </c>
      <c r="L16" s="8">
        <f t="shared" si="34"/>
        <v>427.40000000000009</v>
      </c>
      <c r="M16" s="8">
        <f t="shared" si="34"/>
        <v>410.90000000000026</v>
      </c>
      <c r="N16" s="8">
        <f t="shared" si="34"/>
        <v>445.5000000000004</v>
      </c>
      <c r="O16" s="8">
        <f t="shared" si="34"/>
        <v>482.70000000000022</v>
      </c>
      <c r="P16" s="8">
        <f t="shared" si="34"/>
        <v>503.70000000000027</v>
      </c>
      <c r="Q16" s="8">
        <f t="shared" ref="Q16:R16" si="35">Q14-Q15</f>
        <v>531.10000000000093</v>
      </c>
      <c r="R16" s="8">
        <f t="shared" si="35"/>
        <v>598.19999999999982</v>
      </c>
      <c r="S16" s="8">
        <f t="shared" ref="S16:V16" si="36">S14-S15</f>
        <v>602.85268399999984</v>
      </c>
      <c r="T16" s="8">
        <f t="shared" si="36"/>
        <v>640.64632000000017</v>
      </c>
      <c r="U16" s="8">
        <f t="shared" si="36"/>
        <v>645.38823239999977</v>
      </c>
      <c r="V16" s="8">
        <f t="shared" si="36"/>
        <v>558.878872</v>
      </c>
      <c r="X16" s="8">
        <f t="shared" ref="X16:AD16" si="37">X14-X15</f>
        <v>910.2999999999995</v>
      </c>
      <c r="Y16" s="8">
        <f t="shared" si="37"/>
        <v>1366.9999999999989</v>
      </c>
      <c r="Z16" s="8">
        <f t="shared" si="37"/>
        <v>1292.3000000000006</v>
      </c>
      <c r="AA16" s="8">
        <f t="shared" si="37"/>
        <v>1166.3000000000011</v>
      </c>
      <c r="AB16" s="8">
        <f t="shared" si="37"/>
        <v>1504.6999999999985</v>
      </c>
      <c r="AC16" s="8">
        <f t="shared" si="37"/>
        <v>1653.5000000000005</v>
      </c>
      <c r="AD16" s="8">
        <f t="shared" si="37"/>
        <v>2190.4999999999959</v>
      </c>
      <c r="AE16" s="8">
        <f t="shared" ref="AE16:AO16" si="38">AE14-AE15</f>
        <v>2447.7661083999997</v>
      </c>
      <c r="AF16" s="8">
        <f t="shared" si="38"/>
        <v>2682.2941770360017</v>
      </c>
      <c r="AG16" s="8">
        <f t="shared" si="38"/>
        <v>2906.7806473567202</v>
      </c>
      <c r="AH16" s="8">
        <f t="shared" si="38"/>
        <v>3094.6345346702537</v>
      </c>
      <c r="AI16" s="8">
        <f t="shared" si="38"/>
        <v>3283.5604866237054</v>
      </c>
      <c r="AJ16" s="8">
        <f t="shared" si="38"/>
        <v>3387.3180345534042</v>
      </c>
      <c r="AK16" s="8">
        <f t="shared" si="38"/>
        <v>3447.9420841853162</v>
      </c>
      <c r="AL16" s="8">
        <f t="shared" si="38"/>
        <v>3444.3703224660035</v>
      </c>
      <c r="AM16" s="8">
        <f t="shared" si="38"/>
        <v>3434.245909940526</v>
      </c>
      <c r="AN16" s="8">
        <f t="shared" si="38"/>
        <v>3416.7649573782301</v>
      </c>
      <c r="AO16" s="8">
        <f t="shared" si="38"/>
        <v>3391.2542794109427</v>
      </c>
      <c r="AP16" s="1">
        <f t="shared" ref="AP16:BU16" si="39">AO16*(1+$AS$21)</f>
        <v>3357.3417366168333</v>
      </c>
      <c r="AQ16" s="1">
        <f t="shared" si="39"/>
        <v>3323.7683192506647</v>
      </c>
      <c r="AR16" s="1">
        <f t="shared" si="39"/>
        <v>3290.5306360581581</v>
      </c>
      <c r="AS16" s="1">
        <f t="shared" si="39"/>
        <v>3257.6253296975765</v>
      </c>
      <c r="AT16" s="1">
        <f t="shared" si="39"/>
        <v>3225.0490764006008</v>
      </c>
      <c r="AU16" s="1">
        <f t="shared" si="39"/>
        <v>3192.7985856365949</v>
      </c>
      <c r="AV16" s="1">
        <f t="shared" si="39"/>
        <v>3160.870599780229</v>
      </c>
      <c r="AW16" s="1">
        <f t="shared" si="39"/>
        <v>3129.2618937824268</v>
      </c>
      <c r="AX16" s="1">
        <f t="shared" si="39"/>
        <v>3097.9692748446023</v>
      </c>
      <c r="AY16" s="1">
        <f t="shared" si="39"/>
        <v>3066.989582096156</v>
      </c>
      <c r="AZ16" s="1">
        <f t="shared" si="39"/>
        <v>3036.3196862751943</v>
      </c>
      <c r="BA16" s="1">
        <f t="shared" si="39"/>
        <v>3005.9564894124424</v>
      </c>
      <c r="BB16" s="1">
        <f t="shared" si="39"/>
        <v>2975.896924518318</v>
      </c>
      <c r="BC16" s="1">
        <f t="shared" si="39"/>
        <v>2946.1379552731346</v>
      </c>
      <c r="BD16" s="1">
        <f t="shared" si="39"/>
        <v>2916.6765757204034</v>
      </c>
      <c r="BE16" s="1">
        <f t="shared" si="39"/>
        <v>2887.5098099631996</v>
      </c>
      <c r="BF16" s="1">
        <f t="shared" si="39"/>
        <v>2858.6347118635676</v>
      </c>
      <c r="BG16" s="1">
        <f t="shared" si="39"/>
        <v>2830.0483647449319</v>
      </c>
      <c r="BH16" s="1">
        <f t="shared" si="39"/>
        <v>2801.7478810974826</v>
      </c>
      <c r="BI16" s="1">
        <f t="shared" si="39"/>
        <v>2773.7304022865078</v>
      </c>
      <c r="BJ16" s="1">
        <f t="shared" si="39"/>
        <v>2745.9930982636429</v>
      </c>
      <c r="BK16" s="1">
        <f t="shared" si="39"/>
        <v>2718.5331672810066</v>
      </c>
      <c r="BL16" s="1">
        <f t="shared" si="39"/>
        <v>2691.3478356081964</v>
      </c>
      <c r="BM16" s="1">
        <f t="shared" si="39"/>
        <v>2664.4343572521143</v>
      </c>
      <c r="BN16" s="1">
        <f t="shared" si="39"/>
        <v>2637.7900136795929</v>
      </c>
      <c r="BO16" s="1">
        <f t="shared" si="39"/>
        <v>2611.4121135427968</v>
      </c>
      <c r="BP16" s="1">
        <f t="shared" si="39"/>
        <v>2585.2979924073688</v>
      </c>
      <c r="BQ16" s="1">
        <f t="shared" si="39"/>
        <v>2559.4450124832952</v>
      </c>
      <c r="BR16" s="1">
        <f t="shared" si="39"/>
        <v>2533.8505623584624</v>
      </c>
      <c r="BS16" s="1">
        <f t="shared" si="39"/>
        <v>2508.5120567348777</v>
      </c>
      <c r="BT16" s="1">
        <f t="shared" si="39"/>
        <v>2483.4269361675288</v>
      </c>
      <c r="BU16" s="1">
        <f t="shared" si="39"/>
        <v>2458.5926668058532</v>
      </c>
      <c r="BV16" s="1">
        <f t="shared" ref="BV16:DA16" si="40">BU16*(1+$AS$21)</f>
        <v>2434.0067401377946</v>
      </c>
      <c r="BW16" s="1">
        <f t="shared" si="40"/>
        <v>2409.6666727364168</v>
      </c>
      <c r="BX16" s="1">
        <f t="shared" si="40"/>
        <v>2385.5700060090526</v>
      </c>
      <c r="BY16" s="1">
        <f t="shared" si="40"/>
        <v>2361.7143059489622</v>
      </c>
      <c r="BZ16" s="1">
        <f t="shared" si="40"/>
        <v>2338.0971628894727</v>
      </c>
      <c r="CA16" s="1">
        <f t="shared" si="40"/>
        <v>2314.7161912605779</v>
      </c>
      <c r="CB16" s="1">
        <f t="shared" si="40"/>
        <v>2291.569029347972</v>
      </c>
      <c r="CC16" s="1">
        <f t="shared" si="40"/>
        <v>2268.6533390544923</v>
      </c>
      <c r="CD16" s="1">
        <f t="shared" si="40"/>
        <v>2245.9668056639475</v>
      </c>
      <c r="CE16" s="1">
        <f t="shared" si="40"/>
        <v>2223.5071376073079</v>
      </c>
      <c r="CF16" s="1">
        <f t="shared" si="40"/>
        <v>2201.2720662312349</v>
      </c>
      <c r="CG16" s="1">
        <f t="shared" si="40"/>
        <v>2179.2593455689225</v>
      </c>
      <c r="CH16" s="1">
        <f t="shared" si="40"/>
        <v>2157.4667521132333</v>
      </c>
      <c r="CI16" s="1">
        <f t="shared" si="40"/>
        <v>2135.8920845921011</v>
      </c>
      <c r="CJ16" s="1">
        <f t="shared" si="40"/>
        <v>2114.53316374618</v>
      </c>
      <c r="CK16" s="1">
        <f t="shared" si="40"/>
        <v>2093.3878321087182</v>
      </c>
      <c r="CL16" s="1">
        <f t="shared" si="40"/>
        <v>2072.4539537876308</v>
      </c>
      <c r="CM16" s="1">
        <f t="shared" si="40"/>
        <v>2051.7294142497544</v>
      </c>
      <c r="CN16" s="1">
        <f t="shared" si="40"/>
        <v>2031.2121201072569</v>
      </c>
      <c r="CO16" s="1">
        <f t="shared" si="40"/>
        <v>2010.8999989061842</v>
      </c>
      <c r="CP16" s="1">
        <f t="shared" si="40"/>
        <v>1990.7909989171224</v>
      </c>
      <c r="CQ16" s="1">
        <f t="shared" si="40"/>
        <v>1970.8830889279511</v>
      </c>
      <c r="CR16" s="1">
        <f t="shared" si="40"/>
        <v>1951.1742580386715</v>
      </c>
      <c r="CS16" s="1">
        <f t="shared" si="40"/>
        <v>1931.6625154582848</v>
      </c>
      <c r="CT16" s="1">
        <f t="shared" si="40"/>
        <v>1912.3458903037019</v>
      </c>
      <c r="CU16" s="1">
        <f t="shared" si="40"/>
        <v>1893.2224314006648</v>
      </c>
      <c r="CV16" s="1">
        <f t="shared" si="40"/>
        <v>1874.2902070866583</v>
      </c>
      <c r="CW16" s="1">
        <f t="shared" si="40"/>
        <v>1855.5473050157916</v>
      </c>
      <c r="CX16" s="1">
        <f t="shared" si="40"/>
        <v>1836.9918319656338</v>
      </c>
      <c r="CY16" s="1">
        <f t="shared" si="40"/>
        <v>1818.6219136459774</v>
      </c>
      <c r="CZ16" s="1">
        <f t="shared" si="40"/>
        <v>1800.4356945095176</v>
      </c>
      <c r="DA16" s="1">
        <f t="shared" si="40"/>
        <v>1782.4313375644224</v>
      </c>
      <c r="DB16" s="1">
        <f t="shared" ref="DB16:EG16" si="41">DA16*(1+$AS$21)</f>
        <v>1764.607024188778</v>
      </c>
      <c r="DC16" s="1">
        <f t="shared" si="41"/>
        <v>1746.9609539468902</v>
      </c>
      <c r="DD16" s="1">
        <f t="shared" si="41"/>
        <v>1729.4913444074214</v>
      </c>
      <c r="DE16" s="1">
        <f t="shared" si="41"/>
        <v>1712.1964309633472</v>
      </c>
      <c r="DF16" s="1">
        <f t="shared" si="41"/>
        <v>1695.0744666537137</v>
      </c>
      <c r="DG16" s="1">
        <f t="shared" si="41"/>
        <v>1678.1237219871766</v>
      </c>
      <c r="DH16" s="1">
        <f t="shared" si="41"/>
        <v>1661.3424847673048</v>
      </c>
      <c r="DI16" s="1">
        <f t="shared" si="41"/>
        <v>1644.7290599196317</v>
      </c>
      <c r="DJ16" s="1">
        <f t="shared" si="41"/>
        <v>1628.2817693204354</v>
      </c>
      <c r="DK16" s="1">
        <f t="shared" si="41"/>
        <v>1611.998951627231</v>
      </c>
      <c r="DL16" s="1">
        <f t="shared" si="41"/>
        <v>1595.8789621109586</v>
      </c>
      <c r="DM16" s="1">
        <f t="shared" si="41"/>
        <v>1579.9201724898489</v>
      </c>
      <c r="DN16" s="1">
        <f t="shared" si="41"/>
        <v>1564.1209707649505</v>
      </c>
      <c r="DO16" s="1">
        <f t="shared" si="41"/>
        <v>1548.4797610573009</v>
      </c>
      <c r="DP16" s="1">
        <f t="shared" si="41"/>
        <v>1532.994963446728</v>
      </c>
      <c r="DQ16" s="1">
        <f t="shared" si="41"/>
        <v>1517.6650138122607</v>
      </c>
      <c r="DR16" s="1">
        <f t="shared" si="41"/>
        <v>1502.4883636741381</v>
      </c>
      <c r="DS16" s="1">
        <f t="shared" si="41"/>
        <v>1487.4634800373967</v>
      </c>
      <c r="DT16" s="1">
        <f t="shared" si="41"/>
        <v>1472.5888452370227</v>
      </c>
      <c r="DU16" s="1">
        <f t="shared" si="41"/>
        <v>1457.8629567846524</v>
      </c>
      <c r="DV16" s="1">
        <f t="shared" si="41"/>
        <v>1443.2843272168059</v>
      </c>
      <c r="DW16" s="1">
        <f t="shared" si="41"/>
        <v>1428.8514839446377</v>
      </c>
      <c r="DX16" s="1">
        <f t="shared" si="41"/>
        <v>1414.5629691051913</v>
      </c>
      <c r="DY16" s="1">
        <f t="shared" si="41"/>
        <v>1400.4173394141394</v>
      </c>
      <c r="DZ16" s="1">
        <f t="shared" si="41"/>
        <v>1386.413166019998</v>
      </c>
      <c r="EA16" s="1">
        <f t="shared" si="41"/>
        <v>1372.549034359798</v>
      </c>
      <c r="EB16" s="1">
        <f t="shared" si="41"/>
        <v>1358.8235440162</v>
      </c>
      <c r="EC16" s="1">
        <f t="shared" si="41"/>
        <v>1345.2353085760381</v>
      </c>
      <c r="ED16" s="1">
        <f t="shared" si="41"/>
        <v>1331.7829554902776</v>
      </c>
      <c r="EE16" s="1">
        <f t="shared" si="41"/>
        <v>1318.4651259353748</v>
      </c>
      <c r="EF16" s="1">
        <f t="shared" si="41"/>
        <v>1305.280474676021</v>
      </c>
      <c r="EG16" s="1">
        <f t="shared" si="41"/>
        <v>1292.2276699292606</v>
      </c>
      <c r="EH16" s="1">
        <f t="shared" ref="EH16:ET16" si="42">EG16*(1+$AS$21)</f>
        <v>1279.3053932299681</v>
      </c>
      <c r="EI16" s="1">
        <f t="shared" si="42"/>
        <v>1266.5123392976684</v>
      </c>
      <c r="EJ16" s="1">
        <f t="shared" si="42"/>
        <v>1253.8472159046917</v>
      </c>
      <c r="EK16" s="1">
        <f t="shared" si="42"/>
        <v>1241.3087437456447</v>
      </c>
      <c r="EL16" s="1">
        <f t="shared" si="42"/>
        <v>1228.8956563081883</v>
      </c>
      <c r="EM16" s="1">
        <f t="shared" si="42"/>
        <v>1216.6066997451064</v>
      </c>
      <c r="EN16" s="1">
        <f t="shared" si="42"/>
        <v>1204.4406327476554</v>
      </c>
      <c r="EO16" s="1">
        <f t="shared" si="42"/>
        <v>1192.3962264201789</v>
      </c>
      <c r="EP16" s="1">
        <f t="shared" si="42"/>
        <v>1180.4722641559772</v>
      </c>
      <c r="EQ16" s="1">
        <f t="shared" si="42"/>
        <v>1168.6675415144175</v>
      </c>
      <c r="ER16" s="1">
        <f t="shared" si="42"/>
        <v>1156.9808660992733</v>
      </c>
      <c r="ES16" s="1">
        <f t="shared" si="42"/>
        <v>1145.4110574382805</v>
      </c>
      <c r="ET16" s="1">
        <f t="shared" si="42"/>
        <v>1133.9569468638977</v>
      </c>
    </row>
    <row r="17" spans="2:45" x14ac:dyDescent="0.3">
      <c r="B17" t="s">
        <v>2</v>
      </c>
      <c r="C17" s="4">
        <v>319.10000000000002</v>
      </c>
      <c r="D17" s="4">
        <v>319.10000000000002</v>
      </c>
      <c r="G17" s="4">
        <v>319.10000000000002</v>
      </c>
      <c r="H17" s="4">
        <v>319.10000000000002</v>
      </c>
      <c r="I17" s="4">
        <v>319.10000000000002</v>
      </c>
      <c r="J17" s="4">
        <v>319.10000000000002</v>
      </c>
      <c r="K17" s="4">
        <v>319.10000000000002</v>
      </c>
      <c r="L17" s="4">
        <v>319.10000000000002</v>
      </c>
      <c r="M17" s="4">
        <v>319.10000000000002</v>
      </c>
      <c r="N17" s="4">
        <v>319.10000000000002</v>
      </c>
      <c r="O17" s="4">
        <v>319.10000000000002</v>
      </c>
      <c r="P17" s="4">
        <v>319.10000000000002</v>
      </c>
      <c r="Q17" s="4">
        <f>317.6</f>
        <v>317.60000000000002</v>
      </c>
      <c r="R17" s="4">
        <f>316.1</f>
        <v>316.10000000000002</v>
      </c>
      <c r="S17" s="4">
        <f t="shared" ref="S17:V17" si="43">316.1</f>
        <v>316.10000000000002</v>
      </c>
      <c r="T17" s="4">
        <f t="shared" si="43"/>
        <v>316.10000000000002</v>
      </c>
      <c r="U17" s="4">
        <f t="shared" si="43"/>
        <v>316.10000000000002</v>
      </c>
      <c r="V17" s="4">
        <f t="shared" si="43"/>
        <v>316.10000000000002</v>
      </c>
      <c r="X17" s="4">
        <v>319.10000000000002</v>
      </c>
      <c r="Y17" s="4">
        <v>319.10000000000002</v>
      </c>
      <c r="Z17" s="4">
        <v>319.10000000000002</v>
      </c>
      <c r="AA17" s="4">
        <v>319.10000000000002</v>
      </c>
      <c r="AB17" s="4">
        <v>319.10000000000002</v>
      </c>
      <c r="AC17" s="4">
        <v>319.10000000000002</v>
      </c>
      <c r="AD17" s="4">
        <f t="shared" ref="AD17:AO17" si="44">316.1</f>
        <v>316.10000000000002</v>
      </c>
      <c r="AE17" s="4">
        <f t="shared" si="44"/>
        <v>316.10000000000002</v>
      </c>
      <c r="AF17" s="4">
        <f t="shared" si="44"/>
        <v>316.10000000000002</v>
      </c>
      <c r="AG17" s="4">
        <f t="shared" si="44"/>
        <v>316.10000000000002</v>
      </c>
      <c r="AH17" s="4">
        <f t="shared" si="44"/>
        <v>316.10000000000002</v>
      </c>
      <c r="AI17" s="4">
        <f t="shared" si="44"/>
        <v>316.10000000000002</v>
      </c>
      <c r="AJ17" s="4">
        <f t="shared" si="44"/>
        <v>316.10000000000002</v>
      </c>
      <c r="AK17" s="4">
        <f t="shared" si="44"/>
        <v>316.10000000000002</v>
      </c>
      <c r="AL17" s="4">
        <f t="shared" si="44"/>
        <v>316.10000000000002</v>
      </c>
      <c r="AM17" s="4">
        <f t="shared" si="44"/>
        <v>316.10000000000002</v>
      </c>
      <c r="AN17" s="4">
        <f t="shared" si="44"/>
        <v>316.10000000000002</v>
      </c>
      <c r="AO17" s="4">
        <f t="shared" si="44"/>
        <v>316.10000000000002</v>
      </c>
    </row>
    <row r="18" spans="2:45" x14ac:dyDescent="0.3">
      <c r="B18" t="s">
        <v>29</v>
      </c>
      <c r="C18" s="7">
        <f>C16/C17</f>
        <v>0.85020369790034434</v>
      </c>
      <c r="D18" s="7">
        <f>D16/D17</f>
        <v>0.85239736759636475</v>
      </c>
      <c r="G18" s="7">
        <f t="shared" ref="G18:P18" si="45">G16/G17</f>
        <v>1.0965214666248808</v>
      </c>
      <c r="H18" s="7">
        <f t="shared" si="45"/>
        <v>1.1497963020996553</v>
      </c>
      <c r="I18" s="7">
        <f t="shared" si="45"/>
        <v>1.1917894077091815</v>
      </c>
      <c r="J18" s="7">
        <f t="shared" si="45"/>
        <v>1.2773425258539657</v>
      </c>
      <c r="K18" s="7">
        <f t="shared" si="45"/>
        <v>1.1585709808837352</v>
      </c>
      <c r="L18" s="7">
        <f t="shared" si="45"/>
        <v>1.3393920401128174</v>
      </c>
      <c r="M18" s="7">
        <f t="shared" si="45"/>
        <v>1.2876841115637738</v>
      </c>
      <c r="N18" s="7">
        <f t="shared" si="45"/>
        <v>1.3961140708241941</v>
      </c>
      <c r="O18" s="7">
        <f t="shared" si="45"/>
        <v>1.5126919460984023</v>
      </c>
      <c r="P18" s="7">
        <f t="shared" si="45"/>
        <v>1.5785020369790042</v>
      </c>
      <c r="Q18" s="7">
        <f t="shared" ref="Q18:R18" si="46">Q16/Q17</f>
        <v>1.6722292191435797</v>
      </c>
      <c r="R18" s="7">
        <f t="shared" si="46"/>
        <v>1.8924391015501416</v>
      </c>
      <c r="S18" s="7">
        <f t="shared" ref="S18:V18" si="47">S16/S17</f>
        <v>1.907158127174944</v>
      </c>
      <c r="T18" s="7">
        <f t="shared" si="47"/>
        <v>2.0267204049351477</v>
      </c>
      <c r="U18" s="7">
        <f t="shared" si="47"/>
        <v>2.0417217095855733</v>
      </c>
      <c r="V18" s="7">
        <f t="shared" si="47"/>
        <v>1.7680445175577348</v>
      </c>
      <c r="X18" s="7">
        <f t="shared" ref="X18:AD18" si="48">X16/X17</f>
        <v>2.8527107489815089</v>
      </c>
      <c r="Y18" s="7">
        <f t="shared" si="48"/>
        <v>4.2839235349420202</v>
      </c>
      <c r="Z18" s="7">
        <f t="shared" si="48"/>
        <v>4.0498276402381714</v>
      </c>
      <c r="AA18" s="7">
        <f t="shared" si="48"/>
        <v>3.654967094954563</v>
      </c>
      <c r="AB18" s="7">
        <f t="shared" si="48"/>
        <v>4.7154497022876791</v>
      </c>
      <c r="AC18" s="7">
        <f t="shared" si="48"/>
        <v>5.1817612033845197</v>
      </c>
      <c r="AD18" s="7">
        <f t="shared" si="48"/>
        <v>6.9297690604239026</v>
      </c>
      <c r="AE18" s="7">
        <f t="shared" ref="AE18:AO18" si="49">AE16/AE17</f>
        <v>7.7436447592533995</v>
      </c>
      <c r="AF18" s="7">
        <f t="shared" si="49"/>
        <v>8.4855873996709956</v>
      </c>
      <c r="AG18" s="7">
        <f t="shared" si="49"/>
        <v>9.1957628831278715</v>
      </c>
      <c r="AH18" s="7">
        <f t="shared" si="49"/>
        <v>9.7900491447967521</v>
      </c>
      <c r="AI18" s="7">
        <f t="shared" si="49"/>
        <v>10.387726942814632</v>
      </c>
      <c r="AJ18" s="7">
        <f t="shared" si="49"/>
        <v>10.715969739175589</v>
      </c>
      <c r="AK18" s="7">
        <f t="shared" si="49"/>
        <v>10.907757305236684</v>
      </c>
      <c r="AL18" s="7">
        <f t="shared" si="49"/>
        <v>10.896457837602036</v>
      </c>
      <c r="AM18" s="7">
        <f t="shared" si="49"/>
        <v>10.864428693263289</v>
      </c>
      <c r="AN18" s="7">
        <f t="shared" si="49"/>
        <v>10.809126723752705</v>
      </c>
      <c r="AO18" s="7">
        <f t="shared" si="49"/>
        <v>10.728422269569574</v>
      </c>
    </row>
    <row r="20" spans="2:45" x14ac:dyDescent="0.3">
      <c r="B20" t="s">
        <v>41</v>
      </c>
      <c r="G20" s="9">
        <f t="shared" ref="G20:N23" si="50">G3/C3-1</f>
        <v>0.48346570397111899</v>
      </c>
      <c r="H20" s="9">
        <f t="shared" si="50"/>
        <v>0.4570764162521801</v>
      </c>
      <c r="I20" s="9"/>
      <c r="J20" s="9"/>
      <c r="K20" s="9">
        <f t="shared" si="50"/>
        <v>4.6919108342256433E-2</v>
      </c>
      <c r="L20" s="9">
        <f t="shared" si="50"/>
        <v>-3.976592631998932E-2</v>
      </c>
      <c r="M20" s="9">
        <f t="shared" si="50"/>
        <v>-9.9472099821124038E-3</v>
      </c>
      <c r="N20" s="9">
        <f t="shared" si="50"/>
        <v>5.9418402777778212E-2</v>
      </c>
      <c r="O20" s="9">
        <f>O3/K3-1</f>
        <v>0.10153417015341715</v>
      </c>
      <c r="P20" s="9">
        <f t="shared" ref="P20:P23" si="51">P3/L3-1</f>
        <v>6.7405355493998176E-2</v>
      </c>
      <c r="Q20" s="9">
        <f t="shared" ref="Q20:Q23" si="52">Q3/M3-1</f>
        <v>-4.142246507733649E-3</v>
      </c>
      <c r="R20" s="9">
        <f t="shared" ref="R20:R23" si="53">R3/N3-1</f>
        <v>-8.1486337006841936E-2</v>
      </c>
      <c r="S20" s="9">
        <f t="shared" ref="S20:S23" si="54">S3/O3-1</f>
        <v>2.0000000000000018E-2</v>
      </c>
      <c r="T20" s="9">
        <f t="shared" ref="T20:T23" si="55">T3/P3-1</f>
        <v>2.0000000000000018E-2</v>
      </c>
      <c r="U20" s="9">
        <f t="shared" ref="U20:U23" si="56">U3/Q3-1</f>
        <v>2.0000000000000018E-2</v>
      </c>
      <c r="V20" s="9">
        <f t="shared" ref="V20:V23" si="57">V3/R3-1</f>
        <v>2.0000000000000018E-2</v>
      </c>
      <c r="X20" s="9"/>
      <c r="Y20" s="9">
        <f>Y3/X3-1</f>
        <v>0.34394518681152286</v>
      </c>
      <c r="Z20" s="9">
        <f t="shared" ref="Z20:AO23" si="58">Z3/Y3-1</f>
        <v>0.26994901839281193</v>
      </c>
      <c r="AA20" s="9">
        <f t="shared" si="58"/>
        <v>0.50482400691995477</v>
      </c>
      <c r="AB20" s="9">
        <f t="shared" si="58"/>
        <v>0.31269897417757342</v>
      </c>
      <c r="AC20" s="9">
        <f t="shared" si="58"/>
        <v>1.3563280337734795E-2</v>
      </c>
      <c r="AD20" s="9">
        <f t="shared" si="58"/>
        <v>1.7292183622828583E-2</v>
      </c>
      <c r="AE20" s="9">
        <f t="shared" si="58"/>
        <v>2.0000000000000018E-2</v>
      </c>
      <c r="AF20" s="9">
        <f t="shared" si="58"/>
        <v>2.0000000000000018E-2</v>
      </c>
      <c r="AG20" s="9">
        <f t="shared" si="58"/>
        <v>2.0000000000000018E-2</v>
      </c>
      <c r="AH20" s="9">
        <f t="shared" si="58"/>
        <v>2.0000000000000018E-2</v>
      </c>
      <c r="AI20" s="9">
        <f t="shared" si="58"/>
        <v>2.0000000000000018E-2</v>
      </c>
      <c r="AJ20" s="9">
        <f t="shared" si="58"/>
        <v>1.0000000000000009E-2</v>
      </c>
      <c r="AK20" s="9">
        <f t="shared" si="58"/>
        <v>1.0000000000000009E-2</v>
      </c>
      <c r="AL20" s="9">
        <f t="shared" si="58"/>
        <v>1.0000000000000009E-2</v>
      </c>
      <c r="AM20" s="9">
        <f t="shared" si="58"/>
        <v>1.0000000000000009E-2</v>
      </c>
      <c r="AN20" s="9">
        <f t="shared" si="58"/>
        <v>1.0000000000000009E-2</v>
      </c>
      <c r="AO20" s="9">
        <f t="shared" si="58"/>
        <v>1.0000000000000009E-2</v>
      </c>
    </row>
    <row r="21" spans="2:45" x14ac:dyDescent="0.3">
      <c r="B21" t="s">
        <v>42</v>
      </c>
      <c r="G21" s="9">
        <f t="shared" si="50"/>
        <v>1.0255707762557078</v>
      </c>
      <c r="H21" s="9">
        <f t="shared" si="50"/>
        <v>1.0469107551487413</v>
      </c>
      <c r="I21" s="9"/>
      <c r="J21" s="9"/>
      <c r="K21" s="9">
        <f t="shared" si="50"/>
        <v>0.15284039675383232</v>
      </c>
      <c r="L21" s="9">
        <f t="shared" si="50"/>
        <v>-9.3782994845039713E-3</v>
      </c>
      <c r="M21" s="9">
        <f t="shared" si="50"/>
        <v>-3.4763139288239708E-3</v>
      </c>
      <c r="N21" s="9">
        <f t="shared" si="50"/>
        <v>0.13495602626037395</v>
      </c>
      <c r="O21" s="9">
        <f t="shared" ref="O21:O23" si="59">O4/K4-1</f>
        <v>0.19410767826880448</v>
      </c>
      <c r="P21" s="9">
        <f t="shared" si="51"/>
        <v>0.32482758620689656</v>
      </c>
      <c r="Q21" s="9">
        <f t="shared" si="52"/>
        <v>0.44551528410098751</v>
      </c>
      <c r="R21" s="9">
        <f t="shared" si="53"/>
        <v>0.50668485675306973</v>
      </c>
      <c r="S21" s="9">
        <f t="shared" si="54"/>
        <v>0.39999999999999991</v>
      </c>
      <c r="T21" s="9">
        <f t="shared" si="55"/>
        <v>0.39999999999999991</v>
      </c>
      <c r="U21" s="9">
        <f t="shared" si="56"/>
        <v>0.30000000000000004</v>
      </c>
      <c r="V21" s="9">
        <f t="shared" si="57"/>
        <v>0.19999999999999996</v>
      </c>
      <c r="X21" s="9"/>
      <c r="Y21" s="9">
        <f t="shared" ref="Y21:AN23" si="60">Y4/X4-1</f>
        <v>0.43548957228702712</v>
      </c>
      <c r="Z21" s="9">
        <f t="shared" si="60"/>
        <v>7.2346712632356702E-2</v>
      </c>
      <c r="AA21" s="9">
        <f t="shared" si="60"/>
        <v>0.61403508771929816</v>
      </c>
      <c r="AB21" s="9">
        <f t="shared" si="60"/>
        <v>0.77916571818802627</v>
      </c>
      <c r="AC21" s="9">
        <f t="shared" si="60"/>
        <v>6.4020343211732555E-2</v>
      </c>
      <c r="AD21" s="9">
        <f t="shared" si="60"/>
        <v>0.37545468209830157</v>
      </c>
      <c r="AE21" s="9">
        <f t="shared" si="60"/>
        <v>0.31293971084811312</v>
      </c>
      <c r="AF21" s="9">
        <f t="shared" si="60"/>
        <v>0.14999999999999991</v>
      </c>
      <c r="AG21" s="9">
        <f t="shared" si="60"/>
        <v>8.0000000000000071E-2</v>
      </c>
      <c r="AH21" s="9">
        <f t="shared" si="60"/>
        <v>5.0000000000000044E-2</v>
      </c>
      <c r="AI21" s="9">
        <f t="shared" si="60"/>
        <v>4.0000000000000036E-2</v>
      </c>
      <c r="AJ21" s="9">
        <f t="shared" si="60"/>
        <v>3.0000000000000027E-2</v>
      </c>
      <c r="AK21" s="9">
        <f t="shared" si="60"/>
        <v>2.0000000000000018E-2</v>
      </c>
      <c r="AL21" s="9">
        <f t="shared" si="60"/>
        <v>1.0000000000000009E-2</v>
      </c>
      <c r="AM21" s="9">
        <f t="shared" si="60"/>
        <v>1.0000000000000009E-2</v>
      </c>
      <c r="AN21" s="9">
        <f t="shared" si="60"/>
        <v>1.0000000000000009E-2</v>
      </c>
      <c r="AO21" s="9">
        <f t="shared" si="58"/>
        <v>1.0000000000000009E-2</v>
      </c>
      <c r="AR21" t="s">
        <v>55</v>
      </c>
      <c r="AS21" s="9">
        <v>-0.01</v>
      </c>
    </row>
    <row r="22" spans="2:45" x14ac:dyDescent="0.3">
      <c r="B22" t="s">
        <v>43</v>
      </c>
      <c r="G22" s="9">
        <f t="shared" si="50"/>
        <v>0.65079365079365092</v>
      </c>
      <c r="H22" s="9">
        <f t="shared" si="50"/>
        <v>0.28366762177650418</v>
      </c>
      <c r="I22" s="9"/>
      <c r="J22" s="9"/>
      <c r="K22" s="9">
        <f t="shared" si="50"/>
        <v>0.55048076923076916</v>
      </c>
      <c r="L22" s="9">
        <f t="shared" si="50"/>
        <v>0.44866071428571441</v>
      </c>
      <c r="M22" s="9">
        <f t="shared" si="50"/>
        <v>0.42299349240780892</v>
      </c>
      <c r="N22" s="9">
        <f t="shared" si="50"/>
        <v>0.68822170900692825</v>
      </c>
      <c r="O22" s="9">
        <f t="shared" si="59"/>
        <v>0.62945736434108523</v>
      </c>
      <c r="P22" s="9">
        <f t="shared" si="51"/>
        <v>1.0292758089368257</v>
      </c>
      <c r="Q22" s="9">
        <f t="shared" si="52"/>
        <v>0.93292682926829285</v>
      </c>
      <c r="R22" s="9">
        <f t="shared" si="53"/>
        <v>0.53214774281805699</v>
      </c>
      <c r="S22" s="9">
        <f t="shared" si="54"/>
        <v>0.49999999999999978</v>
      </c>
      <c r="T22" s="9">
        <f t="shared" si="55"/>
        <v>0.39999999999999991</v>
      </c>
      <c r="U22" s="9">
        <f t="shared" si="56"/>
        <v>0.5</v>
      </c>
      <c r="V22" s="9">
        <f t="shared" si="57"/>
        <v>0.30000000000000004</v>
      </c>
      <c r="X22" s="9"/>
      <c r="Y22" s="9">
        <f t="shared" si="60"/>
        <v>-0.54597701149425282</v>
      </c>
      <c r="Z22" s="9">
        <f t="shared" si="58"/>
        <v>1.7405063291139111E-2</v>
      </c>
      <c r="AA22" s="9">
        <f t="shared" si="58"/>
        <v>0.16251944012441677</v>
      </c>
      <c r="AB22" s="9">
        <f t="shared" si="58"/>
        <v>0.17591973244147163</v>
      </c>
      <c r="AC22" s="9">
        <f t="shared" si="58"/>
        <v>0.52502844141069405</v>
      </c>
      <c r="AD22" s="9">
        <f t="shared" si="58"/>
        <v>0.77396493845579983</v>
      </c>
      <c r="AE22" s="9">
        <f t="shared" si="58"/>
        <v>0.42521026072329704</v>
      </c>
      <c r="AF22" s="9">
        <f t="shared" si="58"/>
        <v>0.35000000000000009</v>
      </c>
      <c r="AG22" s="9">
        <f t="shared" si="58"/>
        <v>0.30000000000000004</v>
      </c>
      <c r="AH22" s="9">
        <f t="shared" si="58"/>
        <v>0.19999999999999996</v>
      </c>
      <c r="AI22" s="9">
        <f t="shared" si="58"/>
        <v>0.14999999999999991</v>
      </c>
      <c r="AJ22" s="9">
        <f t="shared" si="58"/>
        <v>9.000000000000008E-2</v>
      </c>
      <c r="AK22" s="9">
        <f t="shared" si="58"/>
        <v>7.0000000000000062E-2</v>
      </c>
      <c r="AL22" s="9">
        <f t="shared" si="58"/>
        <v>5.0000000000000044E-2</v>
      </c>
      <c r="AM22" s="9">
        <f t="shared" si="58"/>
        <v>4.0000000000000036E-2</v>
      </c>
      <c r="AN22" s="9">
        <f t="shared" si="58"/>
        <v>3.0000000000000027E-2</v>
      </c>
      <c r="AO22" s="9">
        <f t="shared" si="58"/>
        <v>2.0000000000000018E-2</v>
      </c>
      <c r="AR22" t="s">
        <v>56</v>
      </c>
      <c r="AS22" s="9">
        <v>0.16</v>
      </c>
    </row>
    <row r="23" spans="2:45" s="1" customFormat="1" x14ac:dyDescent="0.3">
      <c r="B23" s="1" t="s">
        <v>44</v>
      </c>
      <c r="G23" s="9">
        <f t="shared" si="50"/>
        <v>0.65779798761609909</v>
      </c>
      <c r="H23" s="9">
        <f t="shared" si="50"/>
        <v>0.65032072923700213</v>
      </c>
      <c r="I23" s="9"/>
      <c r="J23" s="9"/>
      <c r="K23" s="9">
        <f t="shared" si="50"/>
        <v>9.4163991829588678E-2</v>
      </c>
      <c r="L23" s="9">
        <f t="shared" si="50"/>
        <v>-2.1659080448013013E-2</v>
      </c>
      <c r="M23" s="9">
        <f t="shared" si="50"/>
        <v>-2.2798235614808204E-3</v>
      </c>
      <c r="N23" s="9">
        <f t="shared" si="50"/>
        <v>9.7074635907014706E-2</v>
      </c>
      <c r="O23" s="9">
        <f t="shared" si="59"/>
        <v>0.14849187935034802</v>
      </c>
      <c r="P23" s="9">
        <f t="shared" si="51"/>
        <v>0.19104001672809012</v>
      </c>
      <c r="Q23" s="9">
        <f t="shared" si="52"/>
        <v>0.20001490238934982</v>
      </c>
      <c r="R23" s="9">
        <f t="shared" si="53"/>
        <v>0.17680892672265025</v>
      </c>
      <c r="S23" s="9">
        <f t="shared" si="54"/>
        <v>0.19336769998838954</v>
      </c>
      <c r="T23" s="9">
        <f t="shared" si="55"/>
        <v>0.20719803370786516</v>
      </c>
      <c r="U23" s="9">
        <f t="shared" si="56"/>
        <v>0.17428086515574837</v>
      </c>
      <c r="V23" s="9">
        <f t="shared" si="57"/>
        <v>0.12329227761485839</v>
      </c>
      <c r="X23" s="9"/>
      <c r="Y23" s="9">
        <f t="shared" si="60"/>
        <v>0.3166612836247864</v>
      </c>
      <c r="Z23" s="9">
        <f t="shared" si="58"/>
        <v>0.1940531258760867</v>
      </c>
      <c r="AA23" s="9">
        <f t="shared" si="58"/>
        <v>0.53325898425462603</v>
      </c>
      <c r="AB23" s="9">
        <f t="shared" si="58"/>
        <v>0.46763712232143684</v>
      </c>
      <c r="AC23" s="9">
        <f t="shared" si="58"/>
        <v>4.0000260842914193E-2</v>
      </c>
      <c r="AD23" s="9">
        <f t="shared" si="58"/>
        <v>0.17942351222387298</v>
      </c>
      <c r="AE23" s="9">
        <f t="shared" si="58"/>
        <v>0.17275973162925728</v>
      </c>
      <c r="AF23" s="9">
        <f t="shared" si="58"/>
        <v>0.10094423432467003</v>
      </c>
      <c r="AG23" s="9">
        <f t="shared" si="58"/>
        <v>6.4684978098139778E-2</v>
      </c>
      <c r="AH23" s="9">
        <f t="shared" si="58"/>
        <v>4.5594129541901118E-2</v>
      </c>
      <c r="AI23" s="9">
        <f t="shared" si="58"/>
        <v>3.8454658539143205E-2</v>
      </c>
      <c r="AJ23" s="9">
        <f t="shared" si="58"/>
        <v>2.6285614412488556E-2</v>
      </c>
      <c r="AK23" s="9">
        <f t="shared" si="58"/>
        <v>1.9551054251841338E-2</v>
      </c>
      <c r="AL23" s="9">
        <f t="shared" si="58"/>
        <v>1.2606991977209381E-2</v>
      </c>
      <c r="AM23" s="9">
        <f t="shared" si="58"/>
        <v>1.2027446184272872E-2</v>
      </c>
      <c r="AN23" s="9">
        <f t="shared" si="58"/>
        <v>1.1388990018398992E-2</v>
      </c>
      <c r="AO23" s="9">
        <f t="shared" si="58"/>
        <v>1.0707274714808257E-2</v>
      </c>
      <c r="AR23" t="s">
        <v>57</v>
      </c>
      <c r="AS23" s="4">
        <f>NPV(AS22,AD16:ET16)</f>
        <v>18352.796335391762</v>
      </c>
    </row>
    <row r="24" spans="2:45" x14ac:dyDescent="0.3">
      <c r="B24" t="s">
        <v>45</v>
      </c>
      <c r="C24" s="9">
        <f t="shared" ref="C24:D24" si="61">C8/C6</f>
        <v>0.445578560371517</v>
      </c>
      <c r="D24" s="9">
        <f t="shared" si="61"/>
        <v>0.45345205941931127</v>
      </c>
      <c r="E24" s="9"/>
      <c r="F24" s="9"/>
      <c r="G24" s="9">
        <f t="shared" ref="G24:N24" si="62">G8/G6</f>
        <v>0.49244236941931707</v>
      </c>
      <c r="H24" s="9">
        <f t="shared" si="62"/>
        <v>0.51406433795325523</v>
      </c>
      <c r="I24" s="9">
        <f t="shared" si="62"/>
        <v>0.53853397432720418</v>
      </c>
      <c r="J24" s="9">
        <f t="shared" si="62"/>
        <v>0.50301622958681447</v>
      </c>
      <c r="K24" s="9">
        <f t="shared" si="62"/>
        <v>0.48547883830706456</v>
      </c>
      <c r="L24" s="9">
        <f t="shared" si="62"/>
        <v>0.49656290023262506</v>
      </c>
      <c r="M24" s="9">
        <f t="shared" si="62"/>
        <v>0.4949828622522478</v>
      </c>
      <c r="N24" s="9">
        <f t="shared" si="62"/>
        <v>0.48374554239042905</v>
      </c>
      <c r="O24" s="9">
        <f t="shared" ref="O24:P24" si="63">O8/O6</f>
        <v>0.49594798560315806</v>
      </c>
      <c r="P24" s="9">
        <f t="shared" si="63"/>
        <v>0.48819346910112366</v>
      </c>
      <c r="Q24" s="9">
        <f t="shared" ref="Q24:R24" si="64">Q8/Q6</f>
        <v>0.49179343889061378</v>
      </c>
      <c r="R24" s="9">
        <f t="shared" si="64"/>
        <v>0.48</v>
      </c>
      <c r="S24" s="9">
        <f t="shared" ref="S24:V24" si="65">S8/S6</f>
        <v>0.5</v>
      </c>
      <c r="T24" s="9">
        <f t="shared" si="65"/>
        <v>0.5</v>
      </c>
      <c r="U24" s="9">
        <f t="shared" si="65"/>
        <v>0.49</v>
      </c>
      <c r="V24" s="9">
        <f t="shared" si="65"/>
        <v>0.48</v>
      </c>
      <c r="X24" s="9">
        <f>X8/X6</f>
        <v>0.50521386056383522</v>
      </c>
      <c r="Y24" s="9">
        <f>Y8/Y6</f>
        <v>0.51603238015138764</v>
      </c>
      <c r="Z24" s="9">
        <f t="shared" ref="Z24:AO24" si="66">Z8/Z6</f>
        <v>0.44644665209033418</v>
      </c>
      <c r="AA24" s="9">
        <f t="shared" si="66"/>
        <v>0.44721352895575534</v>
      </c>
      <c r="AB24" s="9">
        <f t="shared" si="66"/>
        <v>0.51281716868059124</v>
      </c>
      <c r="AC24" s="9">
        <f t="shared" si="66"/>
        <v>0.49006477179385893</v>
      </c>
      <c r="AD24" s="9">
        <f t="shared" si="66"/>
        <v>0.49264213335601648</v>
      </c>
      <c r="AE24" s="9">
        <f t="shared" si="66"/>
        <v>0.49221881072247919</v>
      </c>
      <c r="AF24" s="9">
        <f t="shared" si="66"/>
        <v>0.49</v>
      </c>
      <c r="AG24" s="9">
        <f t="shared" si="66"/>
        <v>0.49</v>
      </c>
      <c r="AH24" s="9">
        <f t="shared" si="66"/>
        <v>0.49000000000000005</v>
      </c>
      <c r="AI24" s="9">
        <f t="shared" si="66"/>
        <v>0.48999999999999994</v>
      </c>
      <c r="AJ24" s="9">
        <f t="shared" si="66"/>
        <v>0.49000000000000005</v>
      </c>
      <c r="AK24" s="9">
        <f t="shared" si="66"/>
        <v>0.49</v>
      </c>
      <c r="AL24" s="9">
        <f t="shared" si="66"/>
        <v>0.49</v>
      </c>
      <c r="AM24" s="9">
        <f t="shared" si="66"/>
        <v>0.49</v>
      </c>
      <c r="AN24" s="9">
        <f t="shared" si="66"/>
        <v>0.49</v>
      </c>
      <c r="AO24" s="9">
        <f t="shared" si="66"/>
        <v>0.49</v>
      </c>
      <c r="AR24" t="s">
        <v>58</v>
      </c>
      <c r="AS24" s="4">
        <f>AS23/Main!D13</f>
        <v>3219.7888307704843</v>
      </c>
    </row>
    <row r="25" spans="2:45" x14ac:dyDescent="0.3">
      <c r="B25" t="s">
        <v>46</v>
      </c>
      <c r="C25" s="9">
        <f t="shared" ref="C25:D25" si="67">C9/C6</f>
        <v>0.1780669504643963</v>
      </c>
      <c r="D25" s="9">
        <f t="shared" si="67"/>
        <v>0.15352802160702228</v>
      </c>
      <c r="E25" s="9"/>
      <c r="F25" s="9"/>
      <c r="G25" s="9">
        <f t="shared" ref="G25:N25" si="68">G9/G6</f>
        <v>0.14026845637583893</v>
      </c>
      <c r="H25" s="9">
        <f t="shared" si="68"/>
        <v>0.1276274740449036</v>
      </c>
      <c r="I25" s="9">
        <f t="shared" si="68"/>
        <v>0.13153590722109332</v>
      </c>
      <c r="J25" s="9">
        <f t="shared" si="68"/>
        <v>0.10992200711779701</v>
      </c>
      <c r="K25" s="9">
        <f t="shared" si="68"/>
        <v>8.478011574259274E-2</v>
      </c>
      <c r="L25" s="9">
        <f t="shared" si="68"/>
        <v>8.4006377584359221E-2</v>
      </c>
      <c r="M25" s="9">
        <f t="shared" si="68"/>
        <v>9.3934727534648044E-2</v>
      </c>
      <c r="N25" s="9">
        <f t="shared" si="68"/>
        <v>9.4857931669159068E-2</v>
      </c>
      <c r="O25" s="9">
        <f t="shared" ref="O25:P25" si="69">O9/O6</f>
        <v>0.10156739811912226</v>
      </c>
      <c r="P25" s="9">
        <f t="shared" si="69"/>
        <v>0.10255003511235955</v>
      </c>
      <c r="Q25" s="9">
        <f t="shared" ref="Q25:R25" si="70">Q9/Q6</f>
        <v>0.1007968539790955</v>
      </c>
      <c r="R25" s="9">
        <f t="shared" si="70"/>
        <v>9.1495601173020524E-2</v>
      </c>
      <c r="S25" s="9">
        <f t="shared" ref="S25:V25" si="71">S9/S6</f>
        <v>9.9999999999999992E-2</v>
      </c>
      <c r="T25" s="9">
        <f t="shared" si="71"/>
        <v>0.1</v>
      </c>
      <c r="U25" s="9">
        <f t="shared" si="71"/>
        <v>0.1</v>
      </c>
      <c r="V25" s="9">
        <f t="shared" si="71"/>
        <v>0.09</v>
      </c>
      <c r="X25" s="9">
        <f>X9/X6</f>
        <v>8.1068610713791359E-2</v>
      </c>
      <c r="Y25" s="9">
        <f>Y9/Y6</f>
        <v>9.9032800672834348E-2</v>
      </c>
      <c r="Z25" s="9">
        <f t="shared" ref="Z25:AO25" si="72">Z9/Z6</f>
        <v>9.0612939674527118E-2</v>
      </c>
      <c r="AA25" s="9">
        <f t="shared" si="72"/>
        <v>0.14584589470460441</v>
      </c>
      <c r="AB25" s="9">
        <f t="shared" si="72"/>
        <v>0.12690659867361379</v>
      </c>
      <c r="AC25" s="9">
        <f t="shared" si="72"/>
        <v>8.9652188634525301E-2</v>
      </c>
      <c r="AD25" s="9">
        <f t="shared" si="72"/>
        <v>9.8868674839711235E-2</v>
      </c>
      <c r="AE25" s="9">
        <f t="shared" si="72"/>
        <v>9.73953751003655E-2</v>
      </c>
      <c r="AF25" s="9">
        <f t="shared" si="72"/>
        <v>9.9999999999999992E-2</v>
      </c>
      <c r="AG25" s="9">
        <f t="shared" si="72"/>
        <v>0.1</v>
      </c>
      <c r="AH25" s="9">
        <f t="shared" si="72"/>
        <v>0.1</v>
      </c>
      <c r="AI25" s="9">
        <f t="shared" si="72"/>
        <v>0.1</v>
      </c>
      <c r="AJ25" s="9">
        <f t="shared" si="72"/>
        <v>0.1</v>
      </c>
      <c r="AK25" s="9">
        <f t="shared" si="72"/>
        <v>0.1</v>
      </c>
      <c r="AL25" s="9">
        <f t="shared" si="72"/>
        <v>0.1</v>
      </c>
      <c r="AM25" s="9">
        <f t="shared" si="72"/>
        <v>0.1</v>
      </c>
      <c r="AN25" s="9">
        <f t="shared" si="72"/>
        <v>0.1</v>
      </c>
      <c r="AO25" s="9">
        <f t="shared" si="72"/>
        <v>0.1</v>
      </c>
      <c r="AR25" t="s">
        <v>59</v>
      </c>
      <c r="AS25" s="4">
        <f>Main!D10</f>
        <v>-1781.8596491228072</v>
      </c>
    </row>
    <row r="26" spans="2:45" x14ac:dyDescent="0.3">
      <c r="B26" t="s">
        <v>47</v>
      </c>
      <c r="C26" s="9"/>
      <c r="D26" s="9"/>
      <c r="E26" s="9"/>
      <c r="F26" s="9"/>
      <c r="G26" s="9">
        <f t="shared" ref="G26:N27" si="73">G10/C10-1</f>
        <v>-0.12585933368588043</v>
      </c>
      <c r="H26" s="9">
        <f t="shared" si="73"/>
        <v>-9.7388224878264706E-2</v>
      </c>
      <c r="I26" s="9"/>
      <c r="J26" s="9"/>
      <c r="K26" s="9">
        <f t="shared" si="73"/>
        <v>3.6902601330913498E-2</v>
      </c>
      <c r="L26" s="9">
        <f t="shared" si="73"/>
        <v>-2.4521824423736627E-3</v>
      </c>
      <c r="M26" s="9">
        <f t="shared" si="73"/>
        <v>0.11332973556395043</v>
      </c>
      <c r="N26" s="9">
        <f t="shared" si="73"/>
        <v>0.32749562171628832</v>
      </c>
      <c r="O26" s="9">
        <f>O10/K10-1</f>
        <v>0.34539089848308047</v>
      </c>
      <c r="P26" s="9">
        <f t="shared" ref="P26:P27" si="74">P10/L10-1</f>
        <v>6.2930186823991985E-2</v>
      </c>
      <c r="Q26" s="9">
        <f t="shared" ref="Q26:Q27" si="75">Q10/M10-1</f>
        <v>0.30150266602035858</v>
      </c>
      <c r="R26" s="9">
        <f t="shared" ref="R26:R27" si="76">R10/N10-1</f>
        <v>0.69525065963060562</v>
      </c>
      <c r="S26" s="9">
        <f t="shared" ref="S26:S27" si="77">S10/O10-1</f>
        <v>0.30000000000000027</v>
      </c>
      <c r="T26" s="9">
        <f t="shared" ref="T26:T27" si="78">T10/P10-1</f>
        <v>0.49999999999999978</v>
      </c>
      <c r="U26" s="9">
        <f t="shared" ref="U26:U27" si="79">U10/Q10-1</f>
        <v>0.30000000000000004</v>
      </c>
      <c r="V26" s="9">
        <f t="shared" ref="V26:V27" si="80">V10/R10-1</f>
        <v>0.30000000000000004</v>
      </c>
      <c r="X26" s="9"/>
      <c r="Y26" s="9">
        <f>Y10/X10-1</f>
        <v>-0.2652570053292076</v>
      </c>
      <c r="Z26" s="9">
        <f t="shared" ref="Z26:AO26" si="81">Z10/Y10-1</f>
        <v>0.31937295273748245</v>
      </c>
      <c r="AA26" s="9">
        <f t="shared" si="81"/>
        <v>0.55630430927469421</v>
      </c>
      <c r="AB26" s="9">
        <f t="shared" si="81"/>
        <v>-0.23803555150410205</v>
      </c>
      <c r="AC26" s="9">
        <f t="shared" si="81"/>
        <v>9.570809032451022E-2</v>
      </c>
      <c r="AD26" s="9">
        <f t="shared" si="81"/>
        <v>0.32700969018697945</v>
      </c>
      <c r="AE26" s="9">
        <f t="shared" si="81"/>
        <v>0.34447187082176289</v>
      </c>
      <c r="AF26" s="9">
        <f t="shared" si="81"/>
        <v>0.19999999999999996</v>
      </c>
      <c r="AG26" s="9">
        <f t="shared" si="81"/>
        <v>0.10000000000000009</v>
      </c>
      <c r="AH26" s="9">
        <f t="shared" si="81"/>
        <v>5.0000000000000044E-2</v>
      </c>
      <c r="AI26" s="9">
        <f t="shared" si="81"/>
        <v>4.0000000000000036E-2</v>
      </c>
      <c r="AJ26" s="9">
        <f t="shared" si="81"/>
        <v>3.0000000000000027E-2</v>
      </c>
      <c r="AK26" s="9">
        <f t="shared" si="81"/>
        <v>2.0000000000000018E-2</v>
      </c>
      <c r="AL26" s="9">
        <f t="shared" si="81"/>
        <v>2.0000000000000018E-2</v>
      </c>
      <c r="AM26" s="9">
        <f t="shared" si="81"/>
        <v>2.0000000000000018E-2</v>
      </c>
      <c r="AN26" s="9">
        <f t="shared" si="81"/>
        <v>2.0000000000000018E-2</v>
      </c>
      <c r="AO26" s="9">
        <f t="shared" si="81"/>
        <v>2.0000000000000018E-2</v>
      </c>
      <c r="AR26" t="s">
        <v>60</v>
      </c>
      <c r="AS26" s="4">
        <f>AS24+AS25</f>
        <v>1437.9291816476771</v>
      </c>
    </row>
    <row r="27" spans="2:45" x14ac:dyDescent="0.3">
      <c r="B27" t="s">
        <v>48</v>
      </c>
      <c r="C27" s="9"/>
      <c r="D27" s="9"/>
      <c r="E27" s="9"/>
      <c r="F27" s="9"/>
      <c r="G27" s="9">
        <f t="shared" si="73"/>
        <v>12.977477477477478</v>
      </c>
      <c r="H27" s="9">
        <f t="shared" si="73"/>
        <v>4.6472346786248124</v>
      </c>
      <c r="I27" s="9"/>
      <c r="J27" s="9"/>
      <c r="K27" s="9">
        <f t="shared" si="73"/>
        <v>0.31002255881405083</v>
      </c>
      <c r="L27" s="9">
        <f t="shared" si="73"/>
        <v>5.2938062466913793E-2</v>
      </c>
      <c r="M27" s="9">
        <f t="shared" si="73"/>
        <v>-0.10948191593352885</v>
      </c>
      <c r="N27" s="9">
        <f t="shared" si="73"/>
        <v>-1.5912015912015631E-2</v>
      </c>
      <c r="O27" s="9">
        <f t="shared" ref="O27" si="82">O11/K11-1</f>
        <v>1.7343173431734416E-2</v>
      </c>
      <c r="P27" s="9">
        <f t="shared" si="74"/>
        <v>8.5218702865761609E-2</v>
      </c>
      <c r="Q27" s="9">
        <f t="shared" si="75"/>
        <v>0.17611903890718383</v>
      </c>
      <c r="R27" s="9">
        <f t="shared" si="76"/>
        <v>0.29829984544049482</v>
      </c>
      <c r="S27" s="9">
        <f t="shared" si="77"/>
        <v>0.14999999999999991</v>
      </c>
      <c r="T27" s="9">
        <f t="shared" si="78"/>
        <v>0.14999999999999991</v>
      </c>
      <c r="U27" s="9">
        <f t="shared" si="79"/>
        <v>5.0000000000000044E-2</v>
      </c>
      <c r="V27" s="9">
        <f t="shared" si="80"/>
        <v>5.0000000000000044E-2</v>
      </c>
      <c r="X27" s="9"/>
      <c r="Y27" s="9">
        <f>Y11/X11-1</f>
        <v>0.22115384615384626</v>
      </c>
      <c r="Z27" s="9">
        <f t="shared" ref="Z27:AO27" si="83">Z11/Y11-1</f>
        <v>1.8661417322834644</v>
      </c>
      <c r="AA27" s="9">
        <f t="shared" si="83"/>
        <v>6.23992673992674</v>
      </c>
      <c r="AB27" s="9">
        <f t="shared" si="83"/>
        <v>2.9863394889956991</v>
      </c>
      <c r="AC27" s="9">
        <f t="shared" si="83"/>
        <v>3.7441299657317018E-2</v>
      </c>
      <c r="AD27" s="9">
        <f t="shared" si="83"/>
        <v>0.1459505749938832</v>
      </c>
      <c r="AE27" s="9">
        <f t="shared" si="83"/>
        <v>9.5118501120956322E-2</v>
      </c>
      <c r="AF27" s="9">
        <f t="shared" si="83"/>
        <v>5.0000000000000044E-2</v>
      </c>
      <c r="AG27" s="9">
        <f t="shared" si="83"/>
        <v>4.0000000000000036E-2</v>
      </c>
      <c r="AH27" s="9">
        <f t="shared" si="83"/>
        <v>3.0000000000000027E-2</v>
      </c>
      <c r="AI27" s="9">
        <f t="shared" si="83"/>
        <v>2.0000000000000018E-2</v>
      </c>
      <c r="AJ27" s="9">
        <f t="shared" si="83"/>
        <v>2.0000000000000018E-2</v>
      </c>
      <c r="AK27" s="9">
        <f t="shared" si="83"/>
        <v>2.0000000000000018E-2</v>
      </c>
      <c r="AL27" s="9">
        <f t="shared" si="83"/>
        <v>2.0000000000000018E-2</v>
      </c>
      <c r="AM27" s="9">
        <f t="shared" si="83"/>
        <v>2.0000000000000018E-2</v>
      </c>
      <c r="AN27" s="9">
        <f t="shared" si="83"/>
        <v>2.0000000000000018E-2</v>
      </c>
      <c r="AO27" s="9">
        <f t="shared" si="83"/>
        <v>2.0000000000000018E-2</v>
      </c>
      <c r="AR27" t="s">
        <v>61</v>
      </c>
      <c r="AS27" s="10">
        <f>AS26/AO17</f>
        <v>4.5489692554497845</v>
      </c>
    </row>
    <row r="28" spans="2:45" x14ac:dyDescent="0.3">
      <c r="B28" t="s">
        <v>49</v>
      </c>
      <c r="C28" s="9">
        <f t="shared" ref="C28:D28" si="84">C12/C6</f>
        <v>0.15455688854489161</v>
      </c>
      <c r="D28" s="9">
        <f t="shared" si="84"/>
        <v>0.14812626603646187</v>
      </c>
      <c r="E28" s="9"/>
      <c r="F28" s="9"/>
      <c r="G28" s="9">
        <f t="shared" ref="G28:N28" si="85">G12/G6</f>
        <v>0.12284797198716066</v>
      </c>
      <c r="H28" s="9">
        <f t="shared" si="85"/>
        <v>0.1410780954329259</v>
      </c>
      <c r="I28" s="9">
        <f t="shared" si="85"/>
        <v>0.13292362591069035</v>
      </c>
      <c r="J28" s="9">
        <f t="shared" si="85"/>
        <v>0.14853984199500253</v>
      </c>
      <c r="K28" s="9">
        <f t="shared" si="85"/>
        <v>0.13817105368429472</v>
      </c>
      <c r="L28" s="9">
        <f t="shared" si="85"/>
        <v>0.1514414908910322</v>
      </c>
      <c r="M28" s="9">
        <f t="shared" si="85"/>
        <v>0.14616760220555367</v>
      </c>
      <c r="N28" s="9">
        <f t="shared" si="85"/>
        <v>0.16049695157022897</v>
      </c>
      <c r="O28" s="9">
        <f t="shared" ref="O28:P28" si="86">O12/O6</f>
        <v>0.14877510739579711</v>
      </c>
      <c r="P28" s="9">
        <f t="shared" si="86"/>
        <v>0.14872278792134838</v>
      </c>
      <c r="Q28" s="9">
        <f t="shared" ref="Q28:R28" si="87">Q12/Q6</f>
        <v>0.13583773155334797</v>
      </c>
      <c r="R28" s="9">
        <f t="shared" si="87"/>
        <v>0.12477028347996086</v>
      </c>
      <c r="S28" s="9">
        <f t="shared" ref="S28:V28" si="88">S12/S6</f>
        <v>0.15658940099680144</v>
      </c>
      <c r="T28" s="9">
        <f t="shared" si="88"/>
        <v>0.1605490677990751</v>
      </c>
      <c r="U28" s="9">
        <f t="shared" si="88"/>
        <v>0.1500148267271674</v>
      </c>
      <c r="V28" s="9">
        <f t="shared" si="88"/>
        <v>0.13229154628553128</v>
      </c>
      <c r="X28" s="9">
        <f>X12/X6</f>
        <v>0.28274811978037179</v>
      </c>
      <c r="Y28" s="9">
        <f>Y12/Y6</f>
        <v>0.3354359405663021</v>
      </c>
      <c r="Z28" s="9">
        <f t="shared" ref="Z28:AO28" si="89">Z12/Z6</f>
        <v>0.25706193963050467</v>
      </c>
      <c r="AA28" s="9">
        <f t="shared" si="89"/>
        <v>0.14171140907481325</v>
      </c>
      <c r="AB28" s="9">
        <f t="shared" si="89"/>
        <v>0.13678602403667445</v>
      </c>
      <c r="AC28" s="9">
        <f t="shared" si="89"/>
        <v>0.1494579359555564</v>
      </c>
      <c r="AD28" s="9">
        <f t="shared" si="89"/>
        <v>0.14288828164042131</v>
      </c>
      <c r="AE28" s="9">
        <f t="shared" si="89"/>
        <v>0.1495572050632801</v>
      </c>
      <c r="AF28" s="9">
        <f t="shared" si="89"/>
        <v>0.14800910241044204</v>
      </c>
      <c r="AG28" s="9">
        <f t="shared" si="89"/>
        <v>0.14997969086100457</v>
      </c>
      <c r="AH28" s="9">
        <f t="shared" si="89"/>
        <v>0.15228290820263046</v>
      </c>
      <c r="AI28" s="9">
        <f t="shared" si="89"/>
        <v>0.15521677390108954</v>
      </c>
      <c r="AJ28" s="9">
        <f t="shared" si="89"/>
        <v>0.15600077489294958</v>
      </c>
      <c r="AK28" s="9">
        <f t="shared" si="89"/>
        <v>0.15589773644603111</v>
      </c>
      <c r="AL28" s="9">
        <f t="shared" si="89"/>
        <v>0.15418856405603149</v>
      </c>
      <c r="AM28" s="9">
        <f t="shared" si="89"/>
        <v>0.15233088779387521</v>
      </c>
      <c r="AN28" s="9">
        <f t="shared" si="89"/>
        <v>0.15030736260453337</v>
      </c>
      <c r="AO28" s="9">
        <f t="shared" si="89"/>
        <v>0.1481035614764297</v>
      </c>
      <c r="AR28" t="s">
        <v>62</v>
      </c>
      <c r="AS28" s="10">
        <f>Main!D3</f>
        <v>8.5</v>
      </c>
    </row>
    <row r="29" spans="2:45" x14ac:dyDescent="0.3">
      <c r="B29" t="s">
        <v>27</v>
      </c>
      <c r="C29" s="9">
        <f t="shared" ref="C29:D29" si="90">C15/C14</f>
        <v>0.24701637524285325</v>
      </c>
      <c r="D29" s="9">
        <f t="shared" si="90"/>
        <v>0.19526627218934911</v>
      </c>
      <c r="E29" s="9"/>
      <c r="F29" s="9"/>
      <c r="G29" s="9">
        <f t="shared" ref="G29:N29" si="91">G15/G14</f>
        <v>0.15990396158463402</v>
      </c>
      <c r="H29" s="9">
        <f t="shared" si="91"/>
        <v>0.17122204653264059</v>
      </c>
      <c r="I29" s="9">
        <f t="shared" si="91"/>
        <v>0.10580766517752178</v>
      </c>
      <c r="J29" s="9">
        <f t="shared" si="91"/>
        <v>0.14135243311565182</v>
      </c>
      <c r="K29" s="9">
        <f t="shared" si="91"/>
        <v>0.15186969488414778</v>
      </c>
      <c r="L29" s="9">
        <f t="shared" si="91"/>
        <v>0.11930764475582112</v>
      </c>
      <c r="M29" s="9">
        <f t="shared" si="91"/>
        <v>0.19777430691136264</v>
      </c>
      <c r="N29" s="9">
        <f t="shared" si="91"/>
        <v>0.23650385604113086</v>
      </c>
      <c r="O29" s="9">
        <f t="shared" ref="O29:P29" si="92">O15/O14</f>
        <v>0.15685589519650647</v>
      </c>
      <c r="P29" s="9">
        <f t="shared" si="92"/>
        <v>0.12824506749740386</v>
      </c>
      <c r="Q29" s="9">
        <f t="shared" ref="Q29:R29" si="93">Q15/Q14</f>
        <v>0.10513900589721974</v>
      </c>
      <c r="R29" s="9">
        <f t="shared" si="93"/>
        <v>-6.5930149679258754E-2</v>
      </c>
      <c r="S29" s="9">
        <f t="shared" ref="S29:V29" si="94">S15/S14</f>
        <v>0.18</v>
      </c>
      <c r="T29" s="9">
        <f t="shared" si="94"/>
        <v>0.18</v>
      </c>
      <c r="U29" s="9">
        <f t="shared" si="94"/>
        <v>0.18</v>
      </c>
      <c r="V29" s="9">
        <f t="shared" si="94"/>
        <v>0.18</v>
      </c>
      <c r="X29" s="9">
        <f>X15/X14</f>
        <v>0.25232032854209452</v>
      </c>
      <c r="Y29" s="9">
        <f>Y15/Y14</f>
        <v>0.28522875816993482</v>
      </c>
      <c r="Z29" s="9">
        <f t="shared" ref="Z29:AO29" si="95">Z15/Z14</f>
        <v>0.27182058939539067</v>
      </c>
      <c r="AA29" s="9">
        <f t="shared" si="95"/>
        <v>0.21619623655913961</v>
      </c>
      <c r="AB29" s="9">
        <f t="shared" si="95"/>
        <v>0.14466803092314701</v>
      </c>
      <c r="AC29" s="9">
        <f t="shared" si="95"/>
        <v>0.18017750012395256</v>
      </c>
      <c r="AD29" s="9">
        <f t="shared" si="95"/>
        <v>7.9544499537776411E-2</v>
      </c>
      <c r="AE29" s="9">
        <f t="shared" si="95"/>
        <v>0.18</v>
      </c>
      <c r="AF29" s="9">
        <f t="shared" si="95"/>
        <v>0.18</v>
      </c>
      <c r="AG29" s="9">
        <f t="shared" si="95"/>
        <v>0.18</v>
      </c>
      <c r="AH29" s="9">
        <f t="shared" si="95"/>
        <v>0.18</v>
      </c>
      <c r="AI29" s="9">
        <f t="shared" si="95"/>
        <v>0.18</v>
      </c>
      <c r="AJ29" s="9">
        <f t="shared" si="95"/>
        <v>0.18</v>
      </c>
      <c r="AK29" s="9">
        <f t="shared" si="95"/>
        <v>0.18</v>
      </c>
      <c r="AL29" s="9">
        <f t="shared" si="95"/>
        <v>0.18</v>
      </c>
      <c r="AM29" s="9">
        <f t="shared" si="95"/>
        <v>0.18</v>
      </c>
      <c r="AN29" s="9">
        <f t="shared" si="95"/>
        <v>0.18</v>
      </c>
      <c r="AO29" s="9">
        <f t="shared" si="95"/>
        <v>0.18</v>
      </c>
      <c r="AR29" s="1" t="s">
        <v>63</v>
      </c>
      <c r="AS29" s="11">
        <f>AS27/AS28-1</f>
        <v>-0.46482714641767242</v>
      </c>
    </row>
    <row r="30" spans="2:45" x14ac:dyDescent="0.3">
      <c r="B30" t="s">
        <v>50</v>
      </c>
      <c r="C30" s="9">
        <f t="shared" ref="C30:D30" si="96">C16/C6</f>
        <v>0.13124032507739936</v>
      </c>
      <c r="D30" s="9">
        <f t="shared" si="96"/>
        <v>0.11478730587440919</v>
      </c>
      <c r="E30" s="9"/>
      <c r="F30" s="9"/>
      <c r="G30" s="9">
        <f t="shared" ref="G30:N30" si="97">G16/G6</f>
        <v>0.10210096294134799</v>
      </c>
      <c r="H30" s="9">
        <f t="shared" si="97"/>
        <v>9.3821919909988241E-2</v>
      </c>
      <c r="I30" s="9">
        <f t="shared" si="97"/>
        <v>9.4240967438172132E-2</v>
      </c>
      <c r="J30" s="9">
        <f t="shared" si="97"/>
        <v>0.10287993134607146</v>
      </c>
      <c r="K30" s="9">
        <f t="shared" si="97"/>
        <v>9.8594554231005133E-2</v>
      </c>
      <c r="L30" s="9">
        <f t="shared" si="97"/>
        <v>0.11171227684989155</v>
      </c>
      <c r="M30" s="9">
        <f t="shared" si="97"/>
        <v>0.10205652973026681</v>
      </c>
      <c r="N30" s="9">
        <f t="shared" si="97"/>
        <v>0.10249626135971478</v>
      </c>
      <c r="O30" s="9">
        <f t="shared" ref="O30:P30" si="98">O16/O6</f>
        <v>0.11208638105189835</v>
      </c>
      <c r="P30" s="9">
        <f t="shared" si="98"/>
        <v>0.11053809691011242</v>
      </c>
      <c r="Q30" s="9">
        <f t="shared" ref="Q30:R30" si="99">Q16/Q6</f>
        <v>0.10992445410328072</v>
      </c>
      <c r="R30" s="9">
        <f t="shared" si="99"/>
        <v>0.11695014662756595</v>
      </c>
      <c r="S30" s="9">
        <f t="shared" ref="S30:V30" si="100">S16/S6</f>
        <v>0.11730390458663326</v>
      </c>
      <c r="T30" s="9">
        <f t="shared" si="100"/>
        <v>0.11646082138390393</v>
      </c>
      <c r="U30" s="9">
        <f t="shared" si="100"/>
        <v>0.11375410412338822</v>
      </c>
      <c r="V30" s="9">
        <f t="shared" si="100"/>
        <v>9.727008166192104E-2</v>
      </c>
      <c r="X30" s="9">
        <f>X16/X6</f>
        <v>0.21000784386102514</v>
      </c>
      <c r="Y30" s="9">
        <f>Y16/Y6</f>
        <v>0.23952200728903825</v>
      </c>
      <c r="Z30" s="9">
        <f t="shared" ref="Z30:AO30" si="101">Z16/Z6</f>
        <v>0.18963417318443959</v>
      </c>
      <c r="AA30" s="9">
        <f t="shared" si="101"/>
        <v>0.11162154143577679</v>
      </c>
      <c r="AB30" s="9">
        <f t="shared" si="101"/>
        <v>9.8122583127376026E-2</v>
      </c>
      <c r="AC30" s="9">
        <f t="shared" si="101"/>
        <v>0.10367876199971159</v>
      </c>
      <c r="AD30" s="9">
        <f t="shared" si="101"/>
        <v>0.11645525204946339</v>
      </c>
      <c r="AE30" s="9">
        <f t="shared" si="101"/>
        <v>0.11096261781838251</v>
      </c>
      <c r="AF30" s="9">
        <f t="shared" si="101"/>
        <v>0.11044545842113275</v>
      </c>
      <c r="AG30" s="9">
        <f t="shared" si="101"/>
        <v>0.11241715467133848</v>
      </c>
      <c r="AH30" s="9">
        <f t="shared" si="101"/>
        <v>0.11446337847805764</v>
      </c>
      <c r="AI30" s="9">
        <f t="shared" si="101"/>
        <v>0.11695389081978147</v>
      </c>
      <c r="AJ30" s="9">
        <f t="shared" si="101"/>
        <v>0.11755940697526676</v>
      </c>
      <c r="AK30" s="9">
        <f t="shared" si="101"/>
        <v>0.11736872761899296</v>
      </c>
      <c r="AL30" s="9">
        <f t="shared" si="101"/>
        <v>0.11578741305556348</v>
      </c>
      <c r="AM30" s="9">
        <f t="shared" si="101"/>
        <v>0.11407503516528195</v>
      </c>
      <c r="AN30" s="9">
        <f t="shared" si="101"/>
        <v>0.11221634115885511</v>
      </c>
      <c r="AO30" s="9">
        <f t="shared" si="101"/>
        <v>0.11019857110011112</v>
      </c>
      <c r="AR30" t="s">
        <v>64</v>
      </c>
      <c r="AS30" s="6" t="s">
        <v>70</v>
      </c>
    </row>
    <row r="32" spans="2:45" x14ac:dyDescent="0.3">
      <c r="AS32" t="s">
        <v>71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2024-10-02T13:14:07Z</dcterms:created>
  <dcterms:modified xsi:type="dcterms:W3CDTF">2025-04-04T09:33:53Z</dcterms:modified>
</cp:coreProperties>
</file>