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FC36DAB4-56E1-4BA1-A851-F1C89E5F147A}" xr6:coauthVersionLast="47" xr6:coauthVersionMax="47" xr10:uidLastSave="{00000000-0000-0000-0000-000000000000}"/>
  <bookViews>
    <workbookView xWindow="-108" yWindow="-108" windowWidth="23256" windowHeight="12576" xr2:uid="{F38281D2-A2D5-4B11-829A-E3DB8613286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35" i="2" l="1"/>
  <c r="AO35" i="2" s="1"/>
  <c r="AP35" i="2" s="1"/>
  <c r="AQ35" i="2" s="1"/>
  <c r="AR35" i="2" s="1"/>
  <c r="AS35" i="2" s="1"/>
  <c r="AT35" i="2" s="1"/>
  <c r="AU35" i="2" s="1"/>
  <c r="AV35" i="2" s="1"/>
  <c r="AW35" i="2" s="1"/>
  <c r="AW49" i="2" s="1"/>
  <c r="AW51" i="2" s="1"/>
  <c r="AX51" i="2" s="1"/>
  <c r="AY51" i="2" s="1"/>
  <c r="AZ51" i="2" s="1"/>
  <c r="BA51" i="2" s="1"/>
  <c r="BB51" i="2" s="1"/>
  <c r="BC51" i="2" s="1"/>
  <c r="BD51" i="2" s="1"/>
  <c r="BE51" i="2" s="1"/>
  <c r="BF51" i="2" s="1"/>
  <c r="BG51" i="2" s="1"/>
  <c r="BH51" i="2" s="1"/>
  <c r="BI51" i="2" s="1"/>
  <c r="BJ51" i="2" s="1"/>
  <c r="BK51" i="2" s="1"/>
  <c r="BL51" i="2" s="1"/>
  <c r="BM51" i="2" s="1"/>
  <c r="BN51" i="2" s="1"/>
  <c r="BO51" i="2" s="1"/>
  <c r="BP51" i="2" s="1"/>
  <c r="BQ51" i="2" s="1"/>
  <c r="BR51" i="2" s="1"/>
  <c r="BS51" i="2" s="1"/>
  <c r="BT51" i="2" s="1"/>
  <c r="BU51" i="2" s="1"/>
  <c r="BV51" i="2" s="1"/>
  <c r="BW51" i="2" s="1"/>
  <c r="BX51" i="2" s="1"/>
  <c r="BY51" i="2" s="1"/>
  <c r="BZ51" i="2" s="1"/>
  <c r="CA51" i="2" s="1"/>
  <c r="CB51" i="2" s="1"/>
  <c r="CC51" i="2" s="1"/>
  <c r="CD51" i="2" s="1"/>
  <c r="CE51" i="2" s="1"/>
  <c r="CF51" i="2" s="1"/>
  <c r="CG51" i="2" s="1"/>
  <c r="CH51" i="2" s="1"/>
  <c r="CI51" i="2" s="1"/>
  <c r="CJ51" i="2" s="1"/>
  <c r="CK51" i="2" s="1"/>
  <c r="CL51" i="2" s="1"/>
  <c r="CM51" i="2" s="1"/>
  <c r="CN51" i="2" s="1"/>
  <c r="CO51" i="2" s="1"/>
  <c r="CP51" i="2" s="1"/>
  <c r="CQ51" i="2" s="1"/>
  <c r="CR51" i="2" s="1"/>
  <c r="CS51" i="2" s="1"/>
  <c r="CT51" i="2" s="1"/>
  <c r="CU51" i="2" s="1"/>
  <c r="CV51" i="2" s="1"/>
  <c r="CW51" i="2" s="1"/>
  <c r="CX51" i="2" s="1"/>
  <c r="CY51" i="2" s="1"/>
  <c r="CZ51" i="2" s="1"/>
  <c r="DA51" i="2" s="1"/>
  <c r="DB51" i="2" s="1"/>
  <c r="DC51" i="2" s="1"/>
  <c r="DD51" i="2" s="1"/>
  <c r="DE51" i="2" s="1"/>
  <c r="DF51" i="2" s="1"/>
  <c r="DG51" i="2" s="1"/>
  <c r="DH51" i="2" s="1"/>
  <c r="DI51" i="2" s="1"/>
  <c r="DJ51" i="2" s="1"/>
  <c r="DK51" i="2" s="1"/>
  <c r="DL51" i="2" s="1"/>
  <c r="DM51" i="2" s="1"/>
  <c r="DN51" i="2" s="1"/>
  <c r="DO51" i="2" s="1"/>
  <c r="DP51" i="2" s="1"/>
  <c r="DQ51" i="2" s="1"/>
  <c r="DR51" i="2" s="1"/>
  <c r="DS51" i="2" s="1"/>
  <c r="DT51" i="2" s="1"/>
  <c r="DU51" i="2" s="1"/>
  <c r="DV51" i="2" s="1"/>
  <c r="DW51" i="2" s="1"/>
  <c r="DX51" i="2" s="1"/>
  <c r="DY51" i="2" s="1"/>
  <c r="DZ51" i="2" s="1"/>
  <c r="EA51" i="2" s="1"/>
  <c r="EB51" i="2" s="1"/>
  <c r="EC51" i="2" s="1"/>
  <c r="ED51" i="2" s="1"/>
  <c r="EE51" i="2" s="1"/>
  <c r="EF51" i="2" s="1"/>
  <c r="EG51" i="2" s="1"/>
  <c r="EH51" i="2" s="1"/>
  <c r="EI51" i="2" s="1"/>
  <c r="EJ51" i="2" s="1"/>
  <c r="EK51" i="2" s="1"/>
  <c r="AM35" i="2"/>
  <c r="AZ57" i="2"/>
  <c r="AZ54" i="2"/>
  <c r="AW50" i="2"/>
  <c r="AV50" i="2"/>
  <c r="AU50" i="2"/>
  <c r="AT50" i="2"/>
  <c r="AS50" i="2"/>
  <c r="AR50" i="2"/>
  <c r="AQ50" i="2"/>
  <c r="AP50" i="2"/>
  <c r="AO50" i="2"/>
  <c r="AN50" i="2"/>
  <c r="AM50" i="2"/>
  <c r="AM49" i="2"/>
  <c r="AM51" i="2" s="1"/>
  <c r="AN38" i="2"/>
  <c r="AO38" i="2" s="1"/>
  <c r="AP38" i="2" s="1"/>
  <c r="AQ38" i="2" s="1"/>
  <c r="AR38" i="2" s="1"/>
  <c r="AS38" i="2" s="1"/>
  <c r="AT38" i="2" s="1"/>
  <c r="AU38" i="2" s="1"/>
  <c r="AV38" i="2" s="1"/>
  <c r="AW38" i="2" s="1"/>
  <c r="AM38" i="2"/>
  <c r="AN36" i="2"/>
  <c r="AO36" i="2" s="1"/>
  <c r="AP36" i="2" s="1"/>
  <c r="AQ36" i="2" s="1"/>
  <c r="AR36" i="2" s="1"/>
  <c r="AS36" i="2" s="1"/>
  <c r="AT36" i="2" s="1"/>
  <c r="AU36" i="2" s="1"/>
  <c r="AV36" i="2" s="1"/>
  <c r="AW36" i="2" s="1"/>
  <c r="AM36" i="2"/>
  <c r="AN49" i="2" l="1"/>
  <c r="AN51" i="2" s="1"/>
  <c r="AV49" i="2"/>
  <c r="AV51" i="2" s="1"/>
  <c r="AO49" i="2"/>
  <c r="AO51" i="2" s="1"/>
  <c r="AP49" i="2"/>
  <c r="AP51" i="2" s="1"/>
  <c r="AQ49" i="2"/>
  <c r="AQ51" i="2" s="1"/>
  <c r="AR49" i="2"/>
  <c r="AR51" i="2" s="1"/>
  <c r="AS49" i="2"/>
  <c r="AS51" i="2" s="1"/>
  <c r="AT49" i="2"/>
  <c r="AT51" i="2" s="1"/>
  <c r="AU49" i="2"/>
  <c r="AU51" i="2" s="1"/>
  <c r="AN34" i="2"/>
  <c r="AO34" i="2" s="1"/>
  <c r="AP34" i="2" s="1"/>
  <c r="AQ34" i="2" s="1"/>
  <c r="AR34" i="2" s="1"/>
  <c r="AS34" i="2" s="1"/>
  <c r="AT34" i="2" s="1"/>
  <c r="AU34" i="2" s="1"/>
  <c r="AV34" i="2" s="1"/>
  <c r="AW34" i="2" s="1"/>
  <c r="AM34" i="2"/>
  <c r="AW33" i="2"/>
  <c r="AV33" i="2"/>
  <c r="AU33" i="2"/>
  <c r="AT33" i="2"/>
  <c r="AS33" i="2"/>
  <c r="AR33" i="2"/>
  <c r="AQ33" i="2"/>
  <c r="AP33" i="2"/>
  <c r="AO33" i="2"/>
  <c r="AN33" i="2"/>
  <c r="AM33" i="2"/>
  <c r="AJ49" i="2"/>
  <c r="AJ51" i="2" s="1"/>
  <c r="AK49" i="2"/>
  <c r="AL50" i="2"/>
  <c r="AL49" i="2"/>
  <c r="AL51" i="2" s="1"/>
  <c r="AK33" i="2"/>
  <c r="AJ33" i="2"/>
  <c r="AL33" i="2"/>
  <c r="AO11" i="2"/>
  <c r="AP11" i="2" s="1"/>
  <c r="AQ11" i="2" s="1"/>
  <c r="AR11" i="2" s="1"/>
  <c r="AS11" i="2" s="1"/>
  <c r="AT11" i="2" s="1"/>
  <c r="AU11" i="2" s="1"/>
  <c r="AV11" i="2" s="1"/>
  <c r="AW11" i="2" s="1"/>
  <c r="AN11" i="2"/>
  <c r="AC3" i="2"/>
  <c r="AD3" i="2"/>
  <c r="AD6" i="2" s="1"/>
  <c r="AD9" i="2" s="1"/>
  <c r="AB3" i="2"/>
  <c r="AA3" i="2"/>
  <c r="AM14" i="2"/>
  <c r="AM13" i="2"/>
  <c r="AM12" i="2"/>
  <c r="AM11" i="2"/>
  <c r="AM8" i="2"/>
  <c r="AM7" i="2"/>
  <c r="AD27" i="2"/>
  <c r="AC27" i="2"/>
  <c r="AB27" i="2"/>
  <c r="AA27" i="2"/>
  <c r="AD26" i="2"/>
  <c r="AC26" i="2"/>
  <c r="AB26" i="2"/>
  <c r="AA26" i="2"/>
  <c r="AA23" i="2"/>
  <c r="AC22" i="2"/>
  <c r="AB22" i="2"/>
  <c r="AA22" i="2"/>
  <c r="AD19" i="2"/>
  <c r="AC19" i="2"/>
  <c r="AB19" i="2"/>
  <c r="AA19" i="2"/>
  <c r="AD11" i="2"/>
  <c r="AC11" i="2"/>
  <c r="AB11" i="2"/>
  <c r="AA11" i="2"/>
  <c r="AC9" i="2"/>
  <c r="AD8" i="2"/>
  <c r="AC8" i="2"/>
  <c r="AB8" i="2"/>
  <c r="AA8" i="2"/>
  <c r="AD7" i="2"/>
  <c r="AC7" i="2"/>
  <c r="AB7" i="2"/>
  <c r="AA7" i="2"/>
  <c r="AC6" i="2"/>
  <c r="AC25" i="2" s="1"/>
  <c r="AB6" i="2"/>
  <c r="AB9" i="2" s="1"/>
  <c r="AB10" i="2" s="1"/>
  <c r="AA6" i="2"/>
  <c r="AA9" i="2" s="1"/>
  <c r="AA10" i="2" s="1"/>
  <c r="AC5" i="2"/>
  <c r="AC4" i="2" s="1"/>
  <c r="AB5" i="2"/>
  <c r="AB4" i="2" s="1"/>
  <c r="AA5" i="2"/>
  <c r="AA4" i="2" s="1"/>
  <c r="AW19" i="2"/>
  <c r="AV19" i="2"/>
  <c r="AU19" i="2"/>
  <c r="AT19" i="2"/>
  <c r="AS19" i="2"/>
  <c r="AR19" i="2"/>
  <c r="AQ19" i="2"/>
  <c r="AP19" i="2"/>
  <c r="AO19" i="2"/>
  <c r="AN19" i="2"/>
  <c r="AM19" i="2"/>
  <c r="AL19" i="2"/>
  <c r="Z19" i="2"/>
  <c r="Z5" i="2"/>
  <c r="AZ53" i="2" l="1"/>
  <c r="AZ55" i="2" s="1"/>
  <c r="AZ56" i="2" s="1"/>
  <c r="AZ58" i="2" s="1"/>
  <c r="AK51" i="2"/>
  <c r="AC23" i="2"/>
  <c r="AD5" i="2"/>
  <c r="AD22" i="2"/>
  <c r="AD25" i="2"/>
  <c r="AM3" i="2"/>
  <c r="AN3" i="2" s="1"/>
  <c r="AN5" i="2" s="1"/>
  <c r="AC10" i="2"/>
  <c r="AB24" i="2"/>
  <c r="AB15" i="2"/>
  <c r="AB25" i="2"/>
  <c r="AB23" i="2"/>
  <c r="AA15" i="2"/>
  <c r="AA24" i="2"/>
  <c r="AA25" i="2"/>
  <c r="AM6" i="2"/>
  <c r="D6" i="1"/>
  <c r="D4" i="1"/>
  <c r="AL17" i="2"/>
  <c r="Z27" i="2"/>
  <c r="Y5" i="2"/>
  <c r="Y19" i="2"/>
  <c r="Y22" i="2"/>
  <c r="AL14" i="2"/>
  <c r="AL13" i="2"/>
  <c r="AL12" i="2"/>
  <c r="AL11" i="2"/>
  <c r="Y27" i="2"/>
  <c r="Z26" i="2"/>
  <c r="Y26" i="2"/>
  <c r="AK16" i="2"/>
  <c r="AK14" i="2"/>
  <c r="AK13" i="2"/>
  <c r="AK12" i="2"/>
  <c r="AK11" i="2"/>
  <c r="AK8" i="2"/>
  <c r="AK7" i="2"/>
  <c r="AK6" i="2"/>
  <c r="AK4" i="2"/>
  <c r="AK3" i="2"/>
  <c r="AJ16" i="2"/>
  <c r="AJ14" i="2"/>
  <c r="AJ13" i="2"/>
  <c r="AJ12" i="2"/>
  <c r="AJ11" i="2"/>
  <c r="AJ8" i="2"/>
  <c r="AJ7" i="2"/>
  <c r="AJ6" i="2"/>
  <c r="AJ4" i="2"/>
  <c r="AJ3" i="2"/>
  <c r="X19" i="2"/>
  <c r="X27" i="2"/>
  <c r="W27" i="2"/>
  <c r="V27" i="2"/>
  <c r="U27" i="2"/>
  <c r="T27" i="2"/>
  <c r="S27" i="2"/>
  <c r="R27" i="2"/>
  <c r="Q27" i="2"/>
  <c r="P27" i="2"/>
  <c r="O27" i="2"/>
  <c r="X26" i="2"/>
  <c r="W26" i="2"/>
  <c r="V26" i="2"/>
  <c r="U26" i="2"/>
  <c r="T26" i="2"/>
  <c r="S26" i="2"/>
  <c r="R26" i="2"/>
  <c r="Q26" i="2"/>
  <c r="P26" i="2"/>
  <c r="O26" i="2"/>
  <c r="X25" i="2"/>
  <c r="W25" i="2"/>
  <c r="V25" i="2"/>
  <c r="U25" i="2"/>
  <c r="T25" i="2"/>
  <c r="S25" i="2"/>
  <c r="R25" i="2"/>
  <c r="Q25" i="2"/>
  <c r="P25" i="2"/>
  <c r="O25" i="2"/>
  <c r="X22" i="2"/>
  <c r="W22" i="2"/>
  <c r="V22" i="2"/>
  <c r="U22" i="2"/>
  <c r="T22" i="2"/>
  <c r="S22" i="2"/>
  <c r="R22" i="2"/>
  <c r="Q22" i="2"/>
  <c r="P22" i="2"/>
  <c r="O22" i="2"/>
  <c r="M9" i="2"/>
  <c r="M5" i="2"/>
  <c r="N9" i="2"/>
  <c r="N5" i="2"/>
  <c r="O9" i="2"/>
  <c r="O5" i="2"/>
  <c r="O23" i="2" s="1"/>
  <c r="L9" i="2"/>
  <c r="L5" i="2"/>
  <c r="P9" i="2"/>
  <c r="P5" i="2"/>
  <c r="P23" i="2" s="1"/>
  <c r="Q9" i="2"/>
  <c r="Q5" i="2"/>
  <c r="Q23" i="2" s="1"/>
  <c r="U9" i="2"/>
  <c r="U5" i="2"/>
  <c r="U23" i="2" s="1"/>
  <c r="R9" i="2"/>
  <c r="R5" i="2"/>
  <c r="R23" i="2" s="1"/>
  <c r="V9" i="2"/>
  <c r="V5" i="2"/>
  <c r="V23" i="2" s="1"/>
  <c r="S9" i="2"/>
  <c r="S5" i="2"/>
  <c r="S23" i="2" s="1"/>
  <c r="W9" i="2"/>
  <c r="W5" i="2"/>
  <c r="W23" i="2" s="1"/>
  <c r="T9" i="2"/>
  <c r="T5" i="2"/>
  <c r="T23" i="2" s="1"/>
  <c r="X9" i="2"/>
  <c r="X5" i="2"/>
  <c r="X23" i="2" s="1"/>
  <c r="C9" i="2"/>
  <c r="C5" i="2"/>
  <c r="G27" i="2"/>
  <c r="G26" i="2"/>
  <c r="G25" i="2"/>
  <c r="G22" i="2"/>
  <c r="G9" i="2"/>
  <c r="G5" i="2"/>
  <c r="K5" i="2"/>
  <c r="K23" i="2" s="1"/>
  <c r="N27" i="2"/>
  <c r="AG27" i="2"/>
  <c r="AG26" i="2"/>
  <c r="AI14" i="2"/>
  <c r="AI13" i="2"/>
  <c r="AI12" i="2"/>
  <c r="AI11" i="2"/>
  <c r="K27" i="2"/>
  <c r="K26" i="2"/>
  <c r="N26" i="2"/>
  <c r="F25" i="2"/>
  <c r="F9" i="2"/>
  <c r="F5" i="2"/>
  <c r="F23" i="2" s="1"/>
  <c r="J27" i="2"/>
  <c r="I27" i="2"/>
  <c r="J26" i="2"/>
  <c r="I26" i="2"/>
  <c r="J5" i="2"/>
  <c r="AZ31" i="2"/>
  <c r="AD4" i="2" l="1"/>
  <c r="AM4" i="2" s="1"/>
  <c r="AM5" i="2" s="1"/>
  <c r="AD23" i="2"/>
  <c r="AD10" i="2"/>
  <c r="AO3" i="2"/>
  <c r="AP3" i="2" s="1"/>
  <c r="AQ3" i="2" s="1"/>
  <c r="AR3" i="2" s="1"/>
  <c r="AS3" i="2" s="1"/>
  <c r="AT3" i="2" s="1"/>
  <c r="AU3" i="2" s="1"/>
  <c r="AV3" i="2" s="1"/>
  <c r="AW3" i="2" s="1"/>
  <c r="AC24" i="2"/>
  <c r="AC15" i="2"/>
  <c r="AB17" i="2"/>
  <c r="AB29" i="2" s="1"/>
  <c r="AB16" i="2"/>
  <c r="AB28" i="2" s="1"/>
  <c r="AA16" i="2"/>
  <c r="AA17" i="2"/>
  <c r="AK5" i="2"/>
  <c r="AJ5" i="2"/>
  <c r="Z22" i="2"/>
  <c r="Y25" i="2"/>
  <c r="AL6" i="2"/>
  <c r="Y9" i="2"/>
  <c r="Y10" i="2" s="1"/>
  <c r="Z9" i="2"/>
  <c r="Z25" i="2"/>
  <c r="AL3" i="2"/>
  <c r="AL7" i="2"/>
  <c r="AL8" i="2"/>
  <c r="M10" i="2"/>
  <c r="M15" i="2" s="1"/>
  <c r="M18" i="2" s="1"/>
  <c r="M20" i="2" s="1"/>
  <c r="M23" i="2"/>
  <c r="N10" i="2"/>
  <c r="N15" i="2" s="1"/>
  <c r="N18" i="2" s="1"/>
  <c r="N20" i="2" s="1"/>
  <c r="N23" i="2"/>
  <c r="O10" i="2"/>
  <c r="L10" i="2"/>
  <c r="L15" i="2" s="1"/>
  <c r="L18" i="2" s="1"/>
  <c r="L20" i="2" s="1"/>
  <c r="L23" i="2"/>
  <c r="P10" i="2"/>
  <c r="Q10" i="2"/>
  <c r="U10" i="2"/>
  <c r="R10" i="2"/>
  <c r="V10" i="2"/>
  <c r="S10" i="2"/>
  <c r="W10" i="2"/>
  <c r="T10" i="2"/>
  <c r="X10" i="2"/>
  <c r="G10" i="2"/>
  <c r="G15" i="2" s="1"/>
  <c r="G18" i="2" s="1"/>
  <c r="G20" i="2" s="1"/>
  <c r="C10" i="2"/>
  <c r="C15" i="2" s="1"/>
  <c r="C18" i="2" s="1"/>
  <c r="C20" i="2" s="1"/>
  <c r="G23" i="2"/>
  <c r="N25" i="2"/>
  <c r="M25" i="2"/>
  <c r="K22" i="2"/>
  <c r="M27" i="2"/>
  <c r="L25" i="2"/>
  <c r="N22" i="2"/>
  <c r="AI3" i="2"/>
  <c r="M22" i="2"/>
  <c r="F10" i="2"/>
  <c r="AN13" i="2"/>
  <c r="AO13" i="2" s="1"/>
  <c r="AP13" i="2" s="1"/>
  <c r="AQ13" i="2" s="1"/>
  <c r="AR13" i="2" s="1"/>
  <c r="AS13" i="2" s="1"/>
  <c r="AT13" i="2" s="1"/>
  <c r="AU13" i="2" s="1"/>
  <c r="AV13" i="2" s="1"/>
  <c r="AW13" i="2" s="1"/>
  <c r="AN12" i="2"/>
  <c r="AO12" i="2" s="1"/>
  <c r="AP12" i="2" s="1"/>
  <c r="AQ12" i="2" s="1"/>
  <c r="AR12" i="2" s="1"/>
  <c r="AS12" i="2" s="1"/>
  <c r="AT12" i="2" s="1"/>
  <c r="AU12" i="2" s="1"/>
  <c r="AV12" i="2" s="1"/>
  <c r="AW12" i="2" s="1"/>
  <c r="AG25" i="2"/>
  <c r="AF25" i="2"/>
  <c r="AG22" i="2"/>
  <c r="J22" i="2"/>
  <c r="I25" i="2"/>
  <c r="E25" i="2"/>
  <c r="I22" i="2"/>
  <c r="H16" i="2"/>
  <c r="AH16" i="2" s="1"/>
  <c r="H14" i="2"/>
  <c r="AH14" i="2" s="1"/>
  <c r="H13" i="2"/>
  <c r="AH13" i="2" s="1"/>
  <c r="H12" i="2"/>
  <c r="AH12" i="2" s="1"/>
  <c r="H11" i="2"/>
  <c r="AH11" i="2" s="1"/>
  <c r="H8" i="2"/>
  <c r="H7" i="2"/>
  <c r="H6" i="2"/>
  <c r="H4" i="2"/>
  <c r="H3" i="2"/>
  <c r="L22" i="2" s="1"/>
  <c r="D16" i="2"/>
  <c r="D14" i="2"/>
  <c r="D13" i="2"/>
  <c r="D12" i="2"/>
  <c r="D11" i="2"/>
  <c r="D8" i="2"/>
  <c r="D7" i="2"/>
  <c r="D6" i="2"/>
  <c r="D4" i="2"/>
  <c r="AG9" i="2"/>
  <c r="AG5" i="2"/>
  <c r="AG23" i="2" s="1"/>
  <c r="AF9" i="2"/>
  <c r="AF5" i="2"/>
  <c r="AF23" i="2" s="1"/>
  <c r="E9" i="2"/>
  <c r="E5" i="2"/>
  <c r="E23" i="2" s="1"/>
  <c r="I9" i="2"/>
  <c r="I5" i="2"/>
  <c r="I23" i="2" s="1"/>
  <c r="D5" i="1"/>
  <c r="D8" i="1"/>
  <c r="AZ28" i="2" s="1"/>
  <c r="F3" i="1"/>
  <c r="AD24" i="2" l="1"/>
  <c r="AD15" i="2"/>
  <c r="AC17" i="2"/>
  <c r="AC29" i="2" s="1"/>
  <c r="AC16" i="2"/>
  <c r="AC28" i="2" s="1"/>
  <c r="AB18" i="2"/>
  <c r="AA29" i="2"/>
  <c r="AA28" i="2"/>
  <c r="AA18" i="2"/>
  <c r="AN7" i="2"/>
  <c r="AO7" i="2" s="1"/>
  <c r="AP7" i="2" s="1"/>
  <c r="O15" i="2"/>
  <c r="O24" i="2"/>
  <c r="Y23" i="2"/>
  <c r="R15" i="2"/>
  <c r="R24" i="2"/>
  <c r="U15" i="2"/>
  <c r="U24" i="2"/>
  <c r="W15" i="2"/>
  <c r="W18" i="2" s="1"/>
  <c r="W24" i="2"/>
  <c r="Q15" i="2"/>
  <c r="Q24" i="2"/>
  <c r="Y24" i="2"/>
  <c r="Y15" i="2"/>
  <c r="P15" i="2"/>
  <c r="P24" i="2"/>
  <c r="T15" i="2"/>
  <c r="T24" i="2"/>
  <c r="S15" i="2"/>
  <c r="S24" i="2"/>
  <c r="V15" i="2"/>
  <c r="V24" i="2"/>
  <c r="X15" i="2"/>
  <c r="X24" i="2"/>
  <c r="G28" i="2"/>
  <c r="G30" i="2"/>
  <c r="G24" i="2"/>
  <c r="AI8" i="2"/>
  <c r="H27" i="2"/>
  <c r="H26" i="2"/>
  <c r="K25" i="2"/>
  <c r="K9" i="2"/>
  <c r="K10" i="2" s="1"/>
  <c r="AI4" i="2"/>
  <c r="AI5" i="2" s="1"/>
  <c r="AI6" i="2"/>
  <c r="F15" i="2"/>
  <c r="F24" i="2"/>
  <c r="L26" i="2"/>
  <c r="L27" i="2"/>
  <c r="L24" i="2"/>
  <c r="D9" i="1"/>
  <c r="AH4" i="2"/>
  <c r="AH8" i="2"/>
  <c r="AH27" i="2" s="1"/>
  <c r="D9" i="2"/>
  <c r="H25" i="2"/>
  <c r="AH6" i="2"/>
  <c r="J9" i="2"/>
  <c r="J10" i="2" s="1"/>
  <c r="AH3" i="2"/>
  <c r="AI22" i="2" s="1"/>
  <c r="J25" i="2"/>
  <c r="AH7" i="2"/>
  <c r="AH26" i="2" s="1"/>
  <c r="J23" i="2"/>
  <c r="AG10" i="2"/>
  <c r="I10" i="2"/>
  <c r="AF10" i="2"/>
  <c r="H9" i="2"/>
  <c r="H5" i="2"/>
  <c r="E10" i="2"/>
  <c r="AC18" i="2" l="1"/>
  <c r="AD17" i="2"/>
  <c r="AD16" i="2"/>
  <c r="AC20" i="2"/>
  <c r="AC30" i="2"/>
  <c r="AB20" i="2"/>
  <c r="AB30" i="2"/>
  <c r="AA20" i="2"/>
  <c r="AA30" i="2"/>
  <c r="AO5" i="2"/>
  <c r="Y18" i="2"/>
  <c r="Y30" i="2" s="1"/>
  <c r="Y29" i="2"/>
  <c r="W28" i="2"/>
  <c r="V18" i="2"/>
  <c r="V28" i="2"/>
  <c r="Y28" i="2"/>
  <c r="U18" i="2"/>
  <c r="U28" i="2"/>
  <c r="S18" i="2"/>
  <c r="S28" i="2"/>
  <c r="R18" i="2"/>
  <c r="R28" i="2"/>
  <c r="P18" i="2"/>
  <c r="P28" i="2"/>
  <c r="Q18" i="2"/>
  <c r="Q28" i="2"/>
  <c r="T18" i="2"/>
  <c r="T28" i="2"/>
  <c r="O18" i="2"/>
  <c r="O28" i="2"/>
  <c r="W20" i="2"/>
  <c r="W30" i="2"/>
  <c r="X18" i="2"/>
  <c r="X28" i="2"/>
  <c r="N24" i="2"/>
  <c r="AI27" i="2"/>
  <c r="K15" i="2"/>
  <c r="K24" i="2"/>
  <c r="AJ27" i="2"/>
  <c r="M26" i="2"/>
  <c r="AI7" i="2"/>
  <c r="F18" i="2"/>
  <c r="F28" i="2"/>
  <c r="N28" i="2"/>
  <c r="AH9" i="2"/>
  <c r="AH5" i="2"/>
  <c r="AH23" i="2" s="1"/>
  <c r="AI25" i="2"/>
  <c r="AH25" i="2"/>
  <c r="AH22" i="2"/>
  <c r="E15" i="2"/>
  <c r="E24" i="2"/>
  <c r="AF15" i="2"/>
  <c r="AF24" i="2"/>
  <c r="H10" i="2"/>
  <c r="H23" i="2"/>
  <c r="I15" i="2"/>
  <c r="I24" i="2"/>
  <c r="AG15" i="2"/>
  <c r="AG24" i="2"/>
  <c r="J24" i="2"/>
  <c r="J15" i="2"/>
  <c r="AD29" i="2" l="1"/>
  <c r="AM17" i="2"/>
  <c r="AD28" i="2"/>
  <c r="AD18" i="2"/>
  <c r="AM16" i="2"/>
  <c r="AP5" i="2"/>
  <c r="R20" i="2"/>
  <c r="R30" i="2"/>
  <c r="S20" i="2"/>
  <c r="S30" i="2"/>
  <c r="Y20" i="2"/>
  <c r="Q20" i="2"/>
  <c r="Q30" i="2"/>
  <c r="P20" i="2"/>
  <c r="P30" i="2"/>
  <c r="V20" i="2"/>
  <c r="V30" i="2"/>
  <c r="T20" i="2"/>
  <c r="T30" i="2"/>
  <c r="U20" i="2"/>
  <c r="U30" i="2"/>
  <c r="O20" i="2"/>
  <c r="O30" i="2"/>
  <c r="X20" i="2"/>
  <c r="X30" i="2"/>
  <c r="F20" i="2"/>
  <c r="F30" i="2"/>
  <c r="AL22" i="2"/>
  <c r="L30" i="2"/>
  <c r="AI26" i="2"/>
  <c r="K18" i="2"/>
  <c r="K28" i="2"/>
  <c r="AK25" i="2"/>
  <c r="AK27" i="2"/>
  <c r="AL27" i="2"/>
  <c r="M24" i="2"/>
  <c r="M28" i="2"/>
  <c r="L28" i="2"/>
  <c r="AJ25" i="2"/>
  <c r="AK22" i="2"/>
  <c r="AJ22" i="2"/>
  <c r="AI9" i="2"/>
  <c r="AI10" i="2" s="1"/>
  <c r="AI23" i="2"/>
  <c r="AH10" i="2"/>
  <c r="AH24" i="2" s="1"/>
  <c r="H15" i="2"/>
  <c r="H24" i="2"/>
  <c r="AG18" i="2"/>
  <c r="AG28" i="2"/>
  <c r="AF18" i="2"/>
  <c r="AF28" i="2"/>
  <c r="I18" i="2"/>
  <c r="I28" i="2"/>
  <c r="E18" i="2"/>
  <c r="E28" i="2"/>
  <c r="J18" i="2"/>
  <c r="J28" i="2"/>
  <c r="AD20" i="2" l="1"/>
  <c r="AD30" i="2"/>
  <c r="AQ5" i="2"/>
  <c r="AI16" i="2"/>
  <c r="I20" i="2"/>
  <c r="I30" i="2"/>
  <c r="AG20" i="2"/>
  <c r="AG30" i="2"/>
  <c r="AF20" i="2"/>
  <c r="AF30" i="2"/>
  <c r="E20" i="2"/>
  <c r="E30" i="2"/>
  <c r="J20" i="2"/>
  <c r="J30" i="2"/>
  <c r="M30" i="2"/>
  <c r="N30" i="2"/>
  <c r="AK9" i="2"/>
  <c r="AJ26" i="2"/>
  <c r="K30" i="2"/>
  <c r="K20" i="2"/>
  <c r="AL25" i="2"/>
  <c r="AN8" i="2"/>
  <c r="AO8" i="2" s="1"/>
  <c r="AP8" i="2" s="1"/>
  <c r="AQ8" i="2" s="1"/>
  <c r="AR8" i="2" s="1"/>
  <c r="AS8" i="2" s="1"/>
  <c r="AT8" i="2" s="1"/>
  <c r="AU8" i="2" s="1"/>
  <c r="AV8" i="2" s="1"/>
  <c r="AW8" i="2" s="1"/>
  <c r="AM27" i="2"/>
  <c r="AJ9" i="2"/>
  <c r="AI24" i="2"/>
  <c r="AI15" i="2"/>
  <c r="AH15" i="2"/>
  <c r="AH28" i="2" s="1"/>
  <c r="H18" i="2"/>
  <c r="H28" i="2"/>
  <c r="AR5" i="2" l="1"/>
  <c r="AS27" i="2"/>
  <c r="AM22" i="2"/>
  <c r="H20" i="2"/>
  <c r="H30" i="2"/>
  <c r="AL9" i="2"/>
  <c r="AK26" i="2"/>
  <c r="AM25" i="2"/>
  <c r="AN27" i="2"/>
  <c r="AI28" i="2"/>
  <c r="AH18" i="2"/>
  <c r="AS5" i="2" l="1"/>
  <c r="AT27" i="2"/>
  <c r="AN6" i="2"/>
  <c r="AH20" i="2"/>
  <c r="AH30" i="2"/>
  <c r="AL26" i="2"/>
  <c r="AN22" i="2"/>
  <c r="AO27" i="2"/>
  <c r="AI18" i="2"/>
  <c r="AI30" i="2" s="1"/>
  <c r="AT5" i="2" l="1"/>
  <c r="AU27" i="2"/>
  <c r="AO6" i="2"/>
  <c r="AO22" i="2"/>
  <c r="AN9" i="2"/>
  <c r="AM26" i="2"/>
  <c r="AM9" i="2"/>
  <c r="AN25" i="2"/>
  <c r="AI20" i="2"/>
  <c r="AP27" i="2"/>
  <c r="AU5" i="2" l="1"/>
  <c r="AW27" i="2"/>
  <c r="AV27" i="2"/>
  <c r="AP6" i="2"/>
  <c r="AP22" i="2"/>
  <c r="AO9" i="2"/>
  <c r="AN26" i="2"/>
  <c r="AO25" i="2"/>
  <c r="AR27" i="2"/>
  <c r="AQ27" i="2"/>
  <c r="AW5" i="2" l="1"/>
  <c r="AV5" i="2"/>
  <c r="AQ6" i="2"/>
  <c r="AP9" i="2"/>
  <c r="AO26" i="2"/>
  <c r="AP25" i="2"/>
  <c r="AQ22" i="2"/>
  <c r="AR6" i="2" l="1"/>
  <c r="AQ7" i="2"/>
  <c r="AQ9" i="2" s="1"/>
  <c r="AP26" i="2"/>
  <c r="AQ25" i="2"/>
  <c r="AR22" i="2"/>
  <c r="AS6" i="2" l="1"/>
  <c r="AS4" i="2"/>
  <c r="AR7" i="2"/>
  <c r="AR9" i="2" s="1"/>
  <c r="AQ26" i="2"/>
  <c r="AR25" i="2"/>
  <c r="AS22" i="2"/>
  <c r="AT23" i="2" l="1"/>
  <c r="AT6" i="2"/>
  <c r="AT25" i="2" s="1"/>
  <c r="AT22" i="2"/>
  <c r="AS7" i="2"/>
  <c r="AR26" i="2"/>
  <c r="AS23" i="2"/>
  <c r="AS25" i="2"/>
  <c r="AT4" i="2" l="1"/>
  <c r="AU23" i="2"/>
  <c r="AU6" i="2"/>
  <c r="AU25" i="2" s="1"/>
  <c r="AU22" i="2"/>
  <c r="AS26" i="2"/>
  <c r="AT7" i="2"/>
  <c r="AS9" i="2"/>
  <c r="AS10" i="2" s="1"/>
  <c r="AS24" i="2" s="1"/>
  <c r="AU4" i="2" l="1"/>
  <c r="AV23" i="2"/>
  <c r="AV6" i="2"/>
  <c r="AV25" i="2" s="1"/>
  <c r="AV22" i="2"/>
  <c r="AV4" i="2"/>
  <c r="AU7" i="2"/>
  <c r="AT9" i="2"/>
  <c r="AT10" i="2" s="1"/>
  <c r="AT26" i="2"/>
  <c r="AS15" i="2"/>
  <c r="AS17" i="2" s="1"/>
  <c r="AS29" i="2" l="1"/>
  <c r="AS16" i="2"/>
  <c r="AS28" i="2" s="1"/>
  <c r="AW23" i="2"/>
  <c r="AW6" i="2"/>
  <c r="AW25" i="2" s="1"/>
  <c r="AW22" i="2"/>
  <c r="AT24" i="2"/>
  <c r="AT15" i="2"/>
  <c r="AT17" i="2" s="1"/>
  <c r="AV7" i="2"/>
  <c r="AU26" i="2"/>
  <c r="AU9" i="2"/>
  <c r="AU10" i="2" s="1"/>
  <c r="AR10" i="2"/>
  <c r="AR24" i="2" s="1"/>
  <c r="AQ10" i="2"/>
  <c r="AQ15" i="2" s="1"/>
  <c r="AR4" i="2"/>
  <c r="AR23" i="2"/>
  <c r="AP10" i="2"/>
  <c r="AP15" i="2" s="1"/>
  <c r="AO10" i="2"/>
  <c r="AO15" i="2" s="1"/>
  <c r="AN10" i="2"/>
  <c r="AN15" i="2" s="1"/>
  <c r="AQ4" i="2"/>
  <c r="AQ23" i="2"/>
  <c r="AO4" i="2"/>
  <c r="AO23" i="2"/>
  <c r="AP4" i="2"/>
  <c r="AP23" i="2"/>
  <c r="AN4" i="2"/>
  <c r="AN23" i="2"/>
  <c r="AM23" i="2"/>
  <c r="AJ23" i="2"/>
  <c r="AK23" i="2"/>
  <c r="AK10" i="2"/>
  <c r="AK15" i="2" s="1"/>
  <c r="AM10" i="2"/>
  <c r="AM24" i="2" s="1"/>
  <c r="AJ10" i="2"/>
  <c r="AJ15" i="2" s="1"/>
  <c r="AP17" i="2" l="1"/>
  <c r="AP29" i="2" s="1"/>
  <c r="AO17" i="2"/>
  <c r="AO29" i="2" s="1"/>
  <c r="AQ17" i="2"/>
  <c r="AQ29" i="2" s="1"/>
  <c r="AN17" i="2"/>
  <c r="AN29" i="2" s="1"/>
  <c r="AT29" i="2"/>
  <c r="AT16" i="2"/>
  <c r="AT28" i="2" s="1"/>
  <c r="AO16" i="2"/>
  <c r="AQ16" i="2"/>
  <c r="AQ28" i="2" s="1"/>
  <c r="AP16" i="2"/>
  <c r="AP28" i="2" s="1"/>
  <c r="AN16" i="2"/>
  <c r="AN28" i="2" s="1"/>
  <c r="AS18" i="2"/>
  <c r="AS30" i="2" s="1"/>
  <c r="AW4" i="2"/>
  <c r="AU15" i="2"/>
  <c r="AU17" i="2" s="1"/>
  <c r="AU24" i="2"/>
  <c r="AW7" i="2"/>
  <c r="AV26" i="2"/>
  <c r="AV9" i="2"/>
  <c r="AV10" i="2" s="1"/>
  <c r="AP24" i="2"/>
  <c r="AO24" i="2"/>
  <c r="AM15" i="2"/>
  <c r="AK24" i="2"/>
  <c r="AN24" i="2"/>
  <c r="AQ24" i="2"/>
  <c r="AK28" i="2"/>
  <c r="AJ28" i="2"/>
  <c r="AJ24" i="2"/>
  <c r="AR15" i="2"/>
  <c r="AR17" i="2" s="1"/>
  <c r="AM29" i="2" l="1"/>
  <c r="AO18" i="2"/>
  <c r="AR16" i="2"/>
  <c r="AR28" i="2" s="1"/>
  <c r="AR29" i="2"/>
  <c r="AU29" i="2"/>
  <c r="AU16" i="2"/>
  <c r="AU28" i="2" s="1"/>
  <c r="AT18" i="2"/>
  <c r="AT30" i="2" s="1"/>
  <c r="AQ18" i="2"/>
  <c r="AS20" i="2"/>
  <c r="AN18" i="2"/>
  <c r="AO28" i="2"/>
  <c r="AP18" i="2"/>
  <c r="AM28" i="2"/>
  <c r="AV24" i="2"/>
  <c r="AV15" i="2"/>
  <c r="AV17" i="2" s="1"/>
  <c r="AW26" i="2"/>
  <c r="AW9" i="2"/>
  <c r="AW10" i="2" s="1"/>
  <c r="AJ18" i="2"/>
  <c r="AJ30" i="2" s="1"/>
  <c r="AK18" i="2"/>
  <c r="AK30" i="2" s="1"/>
  <c r="AV29" i="2" l="1"/>
  <c r="AV16" i="2"/>
  <c r="AR18" i="2"/>
  <c r="AR30" i="2" s="1"/>
  <c r="AU18" i="2"/>
  <c r="AU30" i="2" s="1"/>
  <c r="AM18" i="2"/>
  <c r="AM30" i="2" s="1"/>
  <c r="AT20" i="2"/>
  <c r="AW15" i="2"/>
  <c r="AW17" i="2" s="1"/>
  <c r="AW24" i="2"/>
  <c r="AO20" i="2"/>
  <c r="AO30" i="2"/>
  <c r="AP20" i="2"/>
  <c r="AP30" i="2"/>
  <c r="AQ20" i="2"/>
  <c r="AQ30" i="2"/>
  <c r="AN20" i="2"/>
  <c r="AN30" i="2"/>
  <c r="AJ20" i="2"/>
  <c r="AK20" i="2"/>
  <c r="AV18" i="2" l="1"/>
  <c r="AV20" i="2" s="1"/>
  <c r="AW16" i="2"/>
  <c r="AW29" i="2"/>
  <c r="AV28" i="2"/>
  <c r="AM20" i="2"/>
  <c r="AU20" i="2"/>
  <c r="AR20" i="2"/>
  <c r="AV30" i="2" l="1"/>
  <c r="AW18" i="2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DO18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EF18" i="2" s="1"/>
  <c r="EG18" i="2" s="1"/>
  <c r="EH18" i="2" s="1"/>
  <c r="EI18" i="2" s="1"/>
  <c r="EJ18" i="2" s="1"/>
  <c r="EK18" i="2" s="1"/>
  <c r="EL18" i="2" s="1"/>
  <c r="EM18" i="2" s="1"/>
  <c r="EN18" i="2" s="1"/>
  <c r="EO18" i="2" s="1"/>
  <c r="EP18" i="2" s="1"/>
  <c r="EQ18" i="2" s="1"/>
  <c r="ER18" i="2" s="1"/>
  <c r="ES18" i="2" s="1"/>
  <c r="ET18" i="2" s="1"/>
  <c r="EU18" i="2" s="1"/>
  <c r="EV18" i="2" s="1"/>
  <c r="EW18" i="2" s="1"/>
  <c r="EX18" i="2" s="1"/>
  <c r="EY18" i="2" s="1"/>
  <c r="EZ18" i="2" s="1"/>
  <c r="FA18" i="2" s="1"/>
  <c r="FB18" i="2" s="1"/>
  <c r="FC18" i="2" s="1"/>
  <c r="FD18" i="2" s="1"/>
  <c r="FE18" i="2" s="1"/>
  <c r="FF18" i="2" s="1"/>
  <c r="FG18" i="2" s="1"/>
  <c r="FH18" i="2" s="1"/>
  <c r="FI18" i="2" s="1"/>
  <c r="FJ18" i="2" s="1"/>
  <c r="AW28" i="2"/>
  <c r="D3" i="2"/>
  <c r="H22" i="2" s="1"/>
  <c r="AZ27" i="2" l="1"/>
  <c r="AW20" i="2"/>
  <c r="AW30" i="2"/>
  <c r="D25" i="2"/>
  <c r="D5" i="2"/>
  <c r="D23" i="2" l="1"/>
  <c r="D10" i="2"/>
  <c r="D15" i="2" l="1"/>
  <c r="D24" i="2"/>
  <c r="D18" i="2" l="1"/>
  <c r="D28" i="2"/>
  <c r="D30" i="2" l="1"/>
  <c r="D20" i="2"/>
  <c r="Z10" i="2" l="1"/>
  <c r="Z15" i="2" s="1"/>
  <c r="AL4" i="2"/>
  <c r="AL5" i="2" s="1"/>
  <c r="Z23" i="2"/>
  <c r="Z18" i="2" l="1"/>
  <c r="Z29" i="2"/>
  <c r="AL10" i="2"/>
  <c r="AL23" i="2"/>
  <c r="Z24" i="2"/>
  <c r="Z28" i="2" l="1"/>
  <c r="AL16" i="2"/>
  <c r="AL24" i="2"/>
  <c r="AL15" i="2"/>
  <c r="AL29" i="2" s="1"/>
  <c r="AL18" i="2" l="1"/>
  <c r="AZ29" i="2" s="1"/>
  <c r="AZ30" i="2" s="1"/>
  <c r="AZ32" i="2" s="1"/>
  <c r="Z20" i="2"/>
  <c r="Z30" i="2"/>
  <c r="AL28" i="2"/>
  <c r="AL30" i="2" l="1"/>
  <c r="AL20" i="2"/>
</calcChain>
</file>

<file path=xl/sharedStrings.xml><?xml version="1.0" encoding="utf-8"?>
<sst xmlns="http://schemas.openxmlformats.org/spreadsheetml/2006/main" count="98" uniqueCount="91">
  <si>
    <t>PLTR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</si>
  <si>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</si>
  <si>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</si>
  <si>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</si>
  <si>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</si>
  <si>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</si>
  <si>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</si>
  <si>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</si>
  <si>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</si>
  <si>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</si>
  <si>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Q119</t>
  </si>
  <si>
    <t>Q219</t>
  </si>
  <si>
    <t>Q319</t>
  </si>
  <si>
    <t>Q419</t>
  </si>
  <si>
    <t>Q120</t>
  </si>
  <si>
    <t>Q220</t>
  </si>
  <si>
    <t>Q320</t>
  </si>
  <si>
    <t>Q420</t>
  </si>
  <si>
    <t>Cost of sales</t>
  </si>
  <si>
    <t>Revenue</t>
  </si>
  <si>
    <t>Gross profit</t>
  </si>
  <si>
    <t>S&amp;M</t>
  </si>
  <si>
    <t>R&amp;D</t>
  </si>
  <si>
    <t>G&amp;A</t>
  </si>
  <si>
    <t>Operating expenses</t>
  </si>
  <si>
    <t>Operating profit</t>
  </si>
  <si>
    <t>Interest income</t>
  </si>
  <si>
    <t>Interest expense</t>
  </si>
  <si>
    <t>Other income</t>
  </si>
  <si>
    <t>Pretax profit</t>
  </si>
  <si>
    <t>Taxes</t>
  </si>
  <si>
    <t>Net profit</t>
  </si>
  <si>
    <t>EPS</t>
  </si>
  <si>
    <t>Finance expense</t>
  </si>
  <si>
    <t>Revenue y/y</t>
  </si>
  <si>
    <t>Gross Margin</t>
  </si>
  <si>
    <t>S&amp;M Margin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</si>
  <si>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</si>
  <si>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</si>
  <si>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</si>
  <si>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</si>
  <si>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</si>
  <si>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</si>
  <si>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</si>
  <si>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</si>
  <si>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</si>
  <si>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Operating Margin</t>
  </si>
  <si>
    <t>Earnings</t>
  </si>
  <si>
    <t>R&amp;D y/y</t>
  </si>
  <si>
    <t>G&amp;A y/y</t>
  </si>
  <si>
    <t>Q121</t>
  </si>
  <si>
    <t>Q221</t>
  </si>
  <si>
    <t>Q321</t>
  </si>
  <si>
    <t>Q421</t>
  </si>
  <si>
    <t>Net Margin</t>
  </si>
  <si>
    <t>Q224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</si>
  <si>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</si>
  <si>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</si>
  <si>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</si>
  <si>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</si>
  <si>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</si>
  <si>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</si>
  <si>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</si>
  <si>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</si>
  <si>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</si>
  <si>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</si>
  <si>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</si>
  <si>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Heavily overvalued</t>
  </si>
  <si>
    <t>MI</t>
  </si>
  <si>
    <t>Q125</t>
  </si>
  <si>
    <t>Q225</t>
  </si>
  <si>
    <t>Q325</t>
  </si>
  <si>
    <t>Q425</t>
  </si>
  <si>
    <t>Net income</t>
  </si>
  <si>
    <t>D&amp;A</t>
  </si>
  <si>
    <t>SBC</t>
  </si>
  <si>
    <t>Leases</t>
  </si>
  <si>
    <t>Securities</t>
  </si>
  <si>
    <t>Consideration</t>
  </si>
  <si>
    <t>Other</t>
  </si>
  <si>
    <t>A/R</t>
  </si>
  <si>
    <t>Prepaids</t>
  </si>
  <si>
    <t>Other assets</t>
  </si>
  <si>
    <t>A/P</t>
  </si>
  <si>
    <t>A/L</t>
  </si>
  <si>
    <t>D/R</t>
  </si>
  <si>
    <t>Deposits</t>
  </si>
  <si>
    <t>ONCL</t>
  </si>
  <si>
    <t>CFFO</t>
  </si>
  <si>
    <t>PP&amp;E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</si>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</sst>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1" fillId="0" borderId="0" xfId="0" applyNumberFormat="1" applyFont="1"/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  <xf numFmtId="3" fontId="4" fillId="0" borderId="0" xfId="0" applyNumberFormat="1" applyFont="1"/>
    <xf numFmtId="3" fontId="2" fillId="0" borderId="0" xfId="0" applyNumberFormat="1" applyFont="1"/>
    <xf numFmtId="4" fontId="4" fillId="0" borderId="0" xfId="0" applyNumberFormat="1" applyFont="1"/>
    <xf numFmtId="0" fontId="2" fillId="0" borderId="0" xfId="0" applyFont="1"/>
    <xf numFmtId="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30480</xdr:colOff>
      <xdr:row>0</xdr:row>
      <xdr:rowOff>0</xdr:rowOff>
    </xdr:from>
    <xdr:to>
      <xdr:col>26</xdr:col>
      <xdr:colOff>30480</xdr:colOff>
      <xdr:row>60</xdr:row>
      <xdr:rowOff>106680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BB68F7D-399D-4E7E-9A11-CE0CC1F2806B}"/>
            </a:ext>
          </a:extLst>
        </xdr:cNvPr>
        <xdr:cNvCxnSpPr/>
      </xdr:nvCxnSpPr>
      <xdr:spPr>
        <a:xfrm>
          <a:off x="16954500" y="0"/>
          <a:ext cx="0" cy="11079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15240</xdr:colOff>
      <xdr:row>0</xdr:row>
      <xdr:rowOff>0</xdr:rowOff>
    </xdr:from>
    <xdr:to>
      <xdr:col>38</xdr:col>
      <xdr:colOff>15240</xdr:colOff>
      <xdr:row>60</xdr:row>
      <xdr:rowOff>106680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CE740F1-9147-453A-9989-8493F3DE2534}"/>
            </a:ext>
          </a:extLst>
        </xdr:cNvPr>
        <xdr:cNvCxnSpPr/>
      </xdr:nvCxnSpPr>
      <xdr:spPr>
        <a:xfrm>
          <a:off x="24254460" y="0"/>
          <a:ext cx="0" cy="11079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69E33-C75C-477D-AB42-77DD2078D3B8}">
  <dimension ref="B2:G9"/>
  <sheetViews>
    <sheetView tabSelected="1" workbookViewId="0">
      <selection activeCell="F3" sqref="F3"/>
    </sheetView>
  </sheetViews>
  <sheetFormatPr defaultRowHeight="14.4" x14ac:dyDescent="0.3"/>
  <cols>
    <col min="4" max="4" width="9.6640625" bestFit="1" customWidth="1"/>
    <col min="5" max="7" width="15.77734375" style="2" customWidth="1"/>
  </cols>
  <sheetData>
    <row r="2" spans="2:7" x14ac:dyDescent="0.3">
      <c r="E2" s="2" t="s">
        <v>8</v>
      </c>
      <c r="F2" s="2" t="s">
        <v>9</v>
      </c>
      <c r="G2" s="2" t="s">
        <v>47</v>
      </c>
    </row>
    <row r="3" spans="2:7" x14ac:dyDescent="0.3">
      <c r="B3" s="1" t="s">
        <v>0</v>
      </c>
      <c r="C3" t="s">
        <v>1</v>
      </c>
      <c r="D3" s="4">
        <v>83.6</v>
      </c>
      <c r="E3" s="3">
        <v>45751</v>
      </c>
      <c r="F3" s="3">
        <f ca="1">TODAY()</f>
        <v>45751</v>
      </c>
      <c r="G3" s="3">
        <v>45789</v>
      </c>
    </row>
    <row r="4" spans="2:7" x14ac:dyDescent="0.3">
      <c r="C4" t="s">
        <v>2</v>
      </c>
      <c r="D4" s="5">
        <f>2249+95.4+1</f>
        <v>2345.4</v>
      </c>
      <c r="E4" s="2" t="s">
        <v>66</v>
      </c>
    </row>
    <row r="5" spans="2:7" x14ac:dyDescent="0.3">
      <c r="C5" t="s">
        <v>3</v>
      </c>
      <c r="D5" s="5">
        <f>D3*D4</f>
        <v>196075.44</v>
      </c>
    </row>
    <row r="6" spans="2:7" x14ac:dyDescent="0.3">
      <c r="C6" t="s">
        <v>4</v>
      </c>
      <c r="D6" s="5">
        <f>2098.5+3131.5</f>
        <v>5230</v>
      </c>
      <c r="E6" s="2" t="s">
        <v>66</v>
      </c>
    </row>
    <row r="7" spans="2:7" x14ac:dyDescent="0.3">
      <c r="C7" t="s">
        <v>5</v>
      </c>
      <c r="D7" s="5">
        <v>0</v>
      </c>
      <c r="E7" s="2" t="s">
        <v>66</v>
      </c>
    </row>
    <row r="8" spans="2:7" x14ac:dyDescent="0.3">
      <c r="C8" t="s">
        <v>6</v>
      </c>
      <c r="D8" s="5">
        <f>D6-D7</f>
        <v>5230</v>
      </c>
    </row>
    <row r="9" spans="2:7" x14ac:dyDescent="0.3">
      <c r="C9" t="s">
        <v>7</v>
      </c>
      <c r="D9" s="5">
        <f>D5-D8</f>
        <v>190845.44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8081B-9184-4400-8759-A5F68341B1D3}">
  <dimension ref="B2:FJ58"/>
  <sheetViews>
    <sheetView workbookViewId="0">
      <pane xSplit="2" ySplit="2" topLeftCell="AJ23" activePane="bottomRight" state="frozen"/>
      <selection pane="topRight" activeCell="C1" sqref="C1"/>
      <selection pane="bottomLeft" activeCell="A3" sqref="A3"/>
      <selection pane="bottomRight" activeCell="AZ33" sqref="AZ33"/>
    </sheetView>
  </sheetViews>
  <sheetFormatPr defaultRowHeight="14.4" x14ac:dyDescent="0.3"/>
  <cols>
    <col min="2" max="2" width="24.5546875" bestFit="1" customWidth="1"/>
    <col min="34" max="34" width="8.88671875" customWidth="1"/>
    <col min="46" max="49" width="8.88671875" customWidth="1"/>
    <col min="51" max="51" width="12" bestFit="1" customWidth="1"/>
    <col min="52" max="52" width="17.109375" customWidth="1"/>
  </cols>
  <sheetData>
    <row r="2" spans="2:49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50</v>
      </c>
      <c r="L2" s="6" t="s">
        <v>51</v>
      </c>
      <c r="M2" s="6" t="s">
        <v>52</v>
      </c>
      <c r="N2" s="6" t="s">
        <v>53</v>
      </c>
      <c r="O2" s="6" t="s">
        <v>56</v>
      </c>
      <c r="P2" s="6" t="s">
        <v>57</v>
      </c>
      <c r="Q2" s="6" t="s">
        <v>58</v>
      </c>
      <c r="R2" s="6" t="s">
        <v>59</v>
      </c>
      <c r="S2" s="6" t="s">
        <v>60</v>
      </c>
      <c r="T2" s="6" t="s">
        <v>61</v>
      </c>
      <c r="U2" s="6" t="s">
        <v>62</v>
      </c>
      <c r="V2" s="6" t="s">
        <v>63</v>
      </c>
      <c r="W2" s="6" t="s">
        <v>64</v>
      </c>
      <c r="X2" s="6" t="s">
        <v>55</v>
      </c>
      <c r="Y2" s="6" t="s">
        <v>65</v>
      </c>
      <c r="Z2" s="6" t="s">
        <v>66</v>
      </c>
      <c r="AA2" s="6" t="s">
        <v>69</v>
      </c>
      <c r="AB2" s="6" t="s">
        <v>70</v>
      </c>
      <c r="AC2" s="6" t="s">
        <v>71</v>
      </c>
      <c r="AD2" s="6" t="s">
        <v>72</v>
      </c>
      <c r="AF2">
        <v>2018</v>
      </c>
      <c r="AG2">
        <v>2019</v>
      </c>
      <c r="AH2">
        <v>2020</v>
      </c>
      <c r="AI2">
        <v>2021</v>
      </c>
      <c r="AJ2">
        <v>2022</v>
      </c>
      <c r="AK2">
        <v>2023</v>
      </c>
      <c r="AL2">
        <v>2024</v>
      </c>
      <c r="AM2">
        <v>2025</v>
      </c>
      <c r="AN2">
        <v>2026</v>
      </c>
      <c r="AO2">
        <v>2027</v>
      </c>
      <c r="AP2">
        <v>2028</v>
      </c>
      <c r="AQ2">
        <v>2029</v>
      </c>
      <c r="AR2">
        <v>2030</v>
      </c>
      <c r="AS2">
        <v>2031</v>
      </c>
      <c r="AT2">
        <v>2032</v>
      </c>
      <c r="AU2">
        <v>2033</v>
      </c>
      <c r="AV2">
        <v>2034</v>
      </c>
      <c r="AW2">
        <v>2035</v>
      </c>
    </row>
    <row r="3" spans="2:49" s="1" customFormat="1" x14ac:dyDescent="0.3">
      <c r="B3" s="1" t="s">
        <v>19</v>
      </c>
      <c r="C3" s="11">
        <v>150</v>
      </c>
      <c r="D3" s="11">
        <f>322.7-C3</f>
        <v>172.7</v>
      </c>
      <c r="E3" s="8">
        <v>190.5</v>
      </c>
      <c r="F3" s="8">
        <v>229.4</v>
      </c>
      <c r="G3" s="8">
        <v>229.3</v>
      </c>
      <c r="H3" s="11">
        <f>481.2-G3</f>
        <v>251.89999999999998</v>
      </c>
      <c r="I3" s="8">
        <v>289.39999999999998</v>
      </c>
      <c r="J3" s="8">
        <v>322.10000000000002</v>
      </c>
      <c r="K3" s="8">
        <v>341.2</v>
      </c>
      <c r="L3" s="8">
        <v>375.6</v>
      </c>
      <c r="M3" s="8">
        <v>392.1</v>
      </c>
      <c r="N3" s="8">
        <v>432.9</v>
      </c>
      <c r="O3" s="8">
        <v>446.4</v>
      </c>
      <c r="P3" s="8">
        <v>473</v>
      </c>
      <c r="Q3" s="8">
        <v>477.9</v>
      </c>
      <c r="R3" s="8">
        <v>508.6</v>
      </c>
      <c r="S3" s="8">
        <v>525.20000000000005</v>
      </c>
      <c r="T3" s="8">
        <v>533.29999999999995</v>
      </c>
      <c r="U3" s="8">
        <v>558.20000000000005</v>
      </c>
      <c r="V3" s="8">
        <v>608.4</v>
      </c>
      <c r="W3" s="8">
        <v>634.29999999999995</v>
      </c>
      <c r="X3" s="8">
        <v>678.1</v>
      </c>
      <c r="Y3" s="8">
        <v>725.5</v>
      </c>
      <c r="Z3" s="8">
        <v>827.5</v>
      </c>
      <c r="AA3" s="8">
        <f>W3*1.4</f>
        <v>888.01999999999987</v>
      </c>
      <c r="AB3" s="8">
        <f>X3*1.4</f>
        <v>949.33999999999992</v>
      </c>
      <c r="AC3" s="8">
        <f>Y3*1.35</f>
        <v>979.42500000000007</v>
      </c>
      <c r="AD3" s="8">
        <f>Z3*1.3</f>
        <v>1075.75</v>
      </c>
      <c r="AF3" s="8">
        <v>595.4</v>
      </c>
      <c r="AG3" s="8">
        <v>742.6</v>
      </c>
      <c r="AH3" s="8">
        <f>SUM(G3:J3)</f>
        <v>1092.6999999999998</v>
      </c>
      <c r="AI3" s="8">
        <f>SUM(K3:N3)</f>
        <v>1541.8000000000002</v>
      </c>
      <c r="AJ3" s="8">
        <f>SUM(O3:R3)</f>
        <v>1905.9</v>
      </c>
      <c r="AK3" s="8">
        <f>SUM(S3:V3)</f>
        <v>2225.1</v>
      </c>
      <c r="AL3" s="8">
        <f>SUM(W3:Z3)</f>
        <v>2865.4</v>
      </c>
      <c r="AM3" s="8">
        <f>SUM(AA3:AD3)</f>
        <v>3892.5349999999999</v>
      </c>
      <c r="AN3" s="8">
        <f>AM3*1.3</f>
        <v>5060.2955000000002</v>
      </c>
      <c r="AO3" s="8">
        <f>AN3*1.27</f>
        <v>6426.5752849999999</v>
      </c>
      <c r="AP3" s="8">
        <f>AO3*1.24</f>
        <v>7968.9533534000002</v>
      </c>
      <c r="AQ3" s="8">
        <f>AP3*1.18</f>
        <v>9403.3649570119996</v>
      </c>
      <c r="AR3" s="8">
        <f>AQ3*1.14</f>
        <v>10719.836050993679</v>
      </c>
      <c r="AS3" s="8">
        <f>AR3*1.1</f>
        <v>11791.819656093048</v>
      </c>
      <c r="AT3" s="8">
        <f>AS3*1.08</f>
        <v>12735.165228580492</v>
      </c>
      <c r="AU3" s="8">
        <f>AT3*1.06</f>
        <v>13499.275142295322</v>
      </c>
      <c r="AV3" s="8">
        <f t="shared" ref="AV3" si="0">AU3*1.05</f>
        <v>14174.238899410089</v>
      </c>
      <c r="AW3" s="8">
        <f>AV3*1.04</f>
        <v>14741.208455386493</v>
      </c>
    </row>
    <row r="4" spans="2:49" x14ac:dyDescent="0.3">
      <c r="B4" t="s">
        <v>18</v>
      </c>
      <c r="C4" s="14">
        <v>45</v>
      </c>
      <c r="D4" s="12">
        <f>101.4-C4</f>
        <v>56.400000000000006</v>
      </c>
      <c r="E4" s="5">
        <v>65.099999999999994</v>
      </c>
      <c r="F4" s="5">
        <v>75.900000000000006</v>
      </c>
      <c r="G4" s="5">
        <v>64.3</v>
      </c>
      <c r="H4" s="12">
        <f>132.7-G4</f>
        <v>68.399999999999991</v>
      </c>
      <c r="I4" s="5">
        <v>149.30000000000001</v>
      </c>
      <c r="J4" s="5">
        <v>70.5</v>
      </c>
      <c r="K4" s="5">
        <v>74.099999999999994</v>
      </c>
      <c r="L4" s="5">
        <v>90.9</v>
      </c>
      <c r="M4" s="5">
        <v>86.8</v>
      </c>
      <c r="N4" s="5">
        <v>87.6</v>
      </c>
      <c r="O4" s="5">
        <v>94.4</v>
      </c>
      <c r="P4" s="5">
        <v>102.2</v>
      </c>
      <c r="Q4" s="5">
        <v>107.6</v>
      </c>
      <c r="R4" s="5">
        <v>104.3</v>
      </c>
      <c r="S4" s="5">
        <v>107.6</v>
      </c>
      <c r="T4" s="5">
        <v>106.9</v>
      </c>
      <c r="U4" s="5">
        <v>107.9</v>
      </c>
      <c r="V4" s="5">
        <v>108.6</v>
      </c>
      <c r="W4" s="5">
        <v>116.3</v>
      </c>
      <c r="X4" s="5">
        <v>128.6</v>
      </c>
      <c r="Y4" s="5">
        <v>146.6</v>
      </c>
      <c r="Z4" s="5">
        <v>174.5</v>
      </c>
      <c r="AA4" s="5">
        <f>AA3-AA5</f>
        <v>177.60399999999993</v>
      </c>
      <c r="AB4" s="5">
        <f t="shared" ref="AB4:AD4" si="1">AB3-AB5</f>
        <v>189.86799999999994</v>
      </c>
      <c r="AC4" s="5">
        <f t="shared" si="1"/>
        <v>195.88499999999999</v>
      </c>
      <c r="AD4" s="5">
        <f t="shared" si="1"/>
        <v>225.90749999999991</v>
      </c>
      <c r="AF4" s="5">
        <v>165.4</v>
      </c>
      <c r="AG4" s="5">
        <v>242.4</v>
      </c>
      <c r="AH4" s="5">
        <f>SUM(G4:J4)</f>
        <v>352.5</v>
      </c>
      <c r="AI4" s="5">
        <f>SUM(K4:N4)</f>
        <v>339.4</v>
      </c>
      <c r="AJ4" s="5">
        <f>SUM(O4:R4)</f>
        <v>408.50000000000006</v>
      </c>
      <c r="AK4" s="5">
        <f>SUM(S4:V4)</f>
        <v>431</v>
      </c>
      <c r="AL4" s="5">
        <f>SUM(W4:Z4)</f>
        <v>566</v>
      </c>
      <c r="AM4" s="5">
        <f>SUM(AA4:AD4)</f>
        <v>789.26449999999977</v>
      </c>
      <c r="AN4" s="5">
        <f t="shared" ref="AN4:AR4" si="2">AN3-AN5</f>
        <v>1012.0590999999999</v>
      </c>
      <c r="AO4" s="5">
        <f t="shared" si="2"/>
        <v>1285.3150569999998</v>
      </c>
      <c r="AP4" s="5">
        <f t="shared" si="2"/>
        <v>1593.7906706799995</v>
      </c>
      <c r="AQ4" s="5">
        <f t="shared" si="2"/>
        <v>1880.6729914023999</v>
      </c>
      <c r="AR4" s="5">
        <f t="shared" si="2"/>
        <v>2143.9672101987362</v>
      </c>
      <c r="AS4" s="5">
        <f t="shared" ref="AS4:AW4" si="3">AS3-AS5</f>
        <v>2358.3639312186097</v>
      </c>
      <c r="AT4" s="5">
        <f t="shared" si="3"/>
        <v>2547.0330457160981</v>
      </c>
      <c r="AU4" s="5">
        <f t="shared" si="3"/>
        <v>2699.8550284590638</v>
      </c>
      <c r="AV4" s="5">
        <f t="shared" si="3"/>
        <v>2834.8477798820168</v>
      </c>
      <c r="AW4" s="5">
        <f t="shared" si="3"/>
        <v>2948.2416910772972</v>
      </c>
    </row>
    <row r="5" spans="2:49" s="1" customFormat="1" x14ac:dyDescent="0.3">
      <c r="B5" s="1" t="s">
        <v>20</v>
      </c>
      <c r="C5" s="11">
        <f t="shared" ref="C5:M5" si="4">C3-C4</f>
        <v>105</v>
      </c>
      <c r="D5" s="11">
        <f t="shared" si="4"/>
        <v>116.29999999999998</v>
      </c>
      <c r="E5" s="8">
        <f t="shared" si="4"/>
        <v>125.4</v>
      </c>
      <c r="F5" s="8">
        <f t="shared" si="4"/>
        <v>153.5</v>
      </c>
      <c r="G5" s="8">
        <f t="shared" si="4"/>
        <v>165</v>
      </c>
      <c r="H5" s="11">
        <f t="shared" si="4"/>
        <v>183.5</v>
      </c>
      <c r="I5" s="8">
        <f t="shared" si="4"/>
        <v>140.09999999999997</v>
      </c>
      <c r="J5" s="8">
        <f t="shared" si="4"/>
        <v>251.60000000000002</v>
      </c>
      <c r="K5" s="8">
        <f t="shared" si="4"/>
        <v>267.10000000000002</v>
      </c>
      <c r="L5" s="8">
        <f t="shared" si="4"/>
        <v>284.70000000000005</v>
      </c>
      <c r="M5" s="8">
        <f t="shared" si="4"/>
        <v>305.3</v>
      </c>
      <c r="N5" s="8">
        <f t="shared" ref="N5:O5" si="5">N3-N4</f>
        <v>345.29999999999995</v>
      </c>
      <c r="O5" s="8">
        <f t="shared" si="5"/>
        <v>352</v>
      </c>
      <c r="P5" s="8">
        <f t="shared" ref="P5:Q5" si="6">P3-P4</f>
        <v>370.8</v>
      </c>
      <c r="Q5" s="8">
        <f t="shared" si="6"/>
        <v>370.29999999999995</v>
      </c>
      <c r="R5" s="8">
        <f t="shared" ref="R5" si="7">R3-R4</f>
        <v>404.3</v>
      </c>
      <c r="S5" s="8">
        <f t="shared" ref="S5" si="8">S3-S4</f>
        <v>417.6</v>
      </c>
      <c r="T5" s="8">
        <f t="shared" ref="T5:U5" si="9">T3-T4</f>
        <v>426.4</v>
      </c>
      <c r="U5" s="8">
        <f t="shared" si="9"/>
        <v>450.30000000000007</v>
      </c>
      <c r="V5" s="8">
        <f t="shared" ref="V5" si="10">V3-V4</f>
        <v>499.79999999999995</v>
      </c>
      <c r="W5" s="8">
        <f t="shared" ref="W5:Z5" si="11">W3-W4</f>
        <v>518</v>
      </c>
      <c r="X5" s="8">
        <f t="shared" si="11"/>
        <v>549.5</v>
      </c>
      <c r="Y5" s="8">
        <f t="shared" si="11"/>
        <v>578.9</v>
      </c>
      <c r="Z5" s="8">
        <f t="shared" si="11"/>
        <v>653</v>
      </c>
      <c r="AA5" s="8">
        <f>AA3*0.8</f>
        <v>710.41599999999994</v>
      </c>
      <c r="AB5" s="8">
        <f t="shared" ref="AB5:AC5" si="12">AB3*0.8</f>
        <v>759.47199999999998</v>
      </c>
      <c r="AC5" s="8">
        <f t="shared" si="12"/>
        <v>783.54000000000008</v>
      </c>
      <c r="AD5" s="8">
        <f>AD3*0.79</f>
        <v>849.84250000000009</v>
      </c>
      <c r="AF5" s="8">
        <f>AF3-AF4</f>
        <v>430</v>
      </c>
      <c r="AG5" s="8">
        <f>AG3-AG4</f>
        <v>500.20000000000005</v>
      </c>
      <c r="AH5" s="8">
        <f>AH3-AH4</f>
        <v>740.19999999999982</v>
      </c>
      <c r="AI5" s="8">
        <f>AI3-AI4</f>
        <v>1202.4000000000001</v>
      </c>
      <c r="AJ5" s="8">
        <f t="shared" ref="AJ5:AM5" si="13">AJ3-AJ4</f>
        <v>1497.4</v>
      </c>
      <c r="AK5" s="8">
        <f t="shared" si="13"/>
        <v>1794.1</v>
      </c>
      <c r="AL5" s="8">
        <f t="shared" si="13"/>
        <v>2299.4</v>
      </c>
      <c r="AM5" s="8">
        <f t="shared" si="13"/>
        <v>3103.2705000000001</v>
      </c>
      <c r="AN5" s="8">
        <f>AN3*0.8</f>
        <v>4048.2364000000002</v>
      </c>
      <c r="AO5" s="8">
        <f t="shared" ref="AO5:AW5" si="14">AO3*0.8</f>
        <v>5141.2602280000001</v>
      </c>
      <c r="AP5" s="8">
        <f t="shared" si="14"/>
        <v>6375.1626827200007</v>
      </c>
      <c r="AQ5" s="8">
        <f t="shared" si="14"/>
        <v>7522.6919656095997</v>
      </c>
      <c r="AR5" s="8">
        <f t="shared" si="14"/>
        <v>8575.868840794943</v>
      </c>
      <c r="AS5" s="8">
        <f t="shared" si="14"/>
        <v>9433.4557248744386</v>
      </c>
      <c r="AT5" s="8">
        <f t="shared" si="14"/>
        <v>10188.132182864394</v>
      </c>
      <c r="AU5" s="8">
        <f t="shared" si="14"/>
        <v>10799.420113836259</v>
      </c>
      <c r="AV5" s="8">
        <f t="shared" si="14"/>
        <v>11339.391119528073</v>
      </c>
      <c r="AW5" s="8">
        <f t="shared" si="14"/>
        <v>11792.966764309196</v>
      </c>
    </row>
    <row r="6" spans="2:49" x14ac:dyDescent="0.3">
      <c r="B6" t="s">
        <v>21</v>
      </c>
      <c r="C6" s="14">
        <v>100</v>
      </c>
      <c r="D6" s="12">
        <f>217.6-C6</f>
        <v>117.6</v>
      </c>
      <c r="E6" s="5">
        <v>119.7</v>
      </c>
      <c r="F6" s="5">
        <v>112.9</v>
      </c>
      <c r="G6" s="5">
        <v>98.7</v>
      </c>
      <c r="H6" s="12">
        <f>201.2-G6</f>
        <v>102.49999999999999</v>
      </c>
      <c r="I6" s="5">
        <v>334.9</v>
      </c>
      <c r="J6" s="5">
        <v>147.6</v>
      </c>
      <c r="K6" s="5">
        <v>136.1</v>
      </c>
      <c r="L6" s="5">
        <v>162.4</v>
      </c>
      <c r="M6" s="5">
        <v>153.4</v>
      </c>
      <c r="N6" s="5">
        <v>162.6</v>
      </c>
      <c r="O6" s="5">
        <v>160.5</v>
      </c>
      <c r="P6" s="5">
        <v>168.9</v>
      </c>
      <c r="Q6" s="5">
        <v>182.9</v>
      </c>
      <c r="R6" s="5">
        <v>190.2</v>
      </c>
      <c r="S6" s="5">
        <v>187.1</v>
      </c>
      <c r="T6" s="5">
        <v>184.2</v>
      </c>
      <c r="U6" s="5">
        <v>176.4</v>
      </c>
      <c r="V6" s="5">
        <v>197.4</v>
      </c>
      <c r="W6" s="5">
        <v>193.2</v>
      </c>
      <c r="X6" s="5">
        <v>196.8</v>
      </c>
      <c r="Y6" s="5">
        <v>209.5</v>
      </c>
      <c r="Z6" s="5">
        <v>288.3</v>
      </c>
      <c r="AA6" s="5">
        <f>AA3*0.29</f>
        <v>257.52579999999995</v>
      </c>
      <c r="AB6" s="5">
        <f t="shared" ref="AB6" si="15">AB3*0.29</f>
        <v>275.30859999999996</v>
      </c>
      <c r="AC6" s="5">
        <f>AC3*0.28</f>
        <v>274.23900000000003</v>
      </c>
      <c r="AD6" s="5">
        <f>AD3*0.32</f>
        <v>344.24</v>
      </c>
      <c r="AF6" s="5">
        <v>461.8</v>
      </c>
      <c r="AG6" s="5">
        <v>450.1</v>
      </c>
      <c r="AH6" s="5">
        <f>SUM(G6:J6)</f>
        <v>683.69999999999993</v>
      </c>
      <c r="AI6" s="5">
        <f>SUM(K6:N6)</f>
        <v>614.5</v>
      </c>
      <c r="AJ6" s="5">
        <f>SUM(O6:R6)</f>
        <v>702.5</v>
      </c>
      <c r="AK6" s="5">
        <f>SUM(S6:V6)</f>
        <v>745.09999999999991</v>
      </c>
      <c r="AL6" s="5">
        <f>SUM(W6:Z6)</f>
        <v>887.8</v>
      </c>
      <c r="AM6" s="5">
        <f>SUM(AA6:AD6)</f>
        <v>1151.3134</v>
      </c>
      <c r="AN6" s="5">
        <f>AN3*0.27</f>
        <v>1366.2797850000002</v>
      </c>
      <c r="AO6" s="5">
        <f>AO3*0.26</f>
        <v>1670.9095741000001</v>
      </c>
      <c r="AP6" s="5">
        <f>AP3*0.25</f>
        <v>1992.23833835</v>
      </c>
      <c r="AQ6" s="5">
        <f>AQ3*0.24</f>
        <v>2256.80758968288</v>
      </c>
      <c r="AR6" s="5">
        <f>AR3*0.23</f>
        <v>2465.5622917285464</v>
      </c>
      <c r="AS6" s="5">
        <f t="shared" ref="AS6:AW6" si="16">AS3*0.23</f>
        <v>2712.1185209014011</v>
      </c>
      <c r="AT6" s="5">
        <f t="shared" si="16"/>
        <v>2929.0880025735132</v>
      </c>
      <c r="AU6" s="5">
        <f t="shared" si="16"/>
        <v>3104.8332827279241</v>
      </c>
      <c r="AV6" s="5">
        <f t="shared" si="16"/>
        <v>3260.0749468643207</v>
      </c>
      <c r="AW6" s="5">
        <f t="shared" si="16"/>
        <v>3390.4779447388937</v>
      </c>
    </row>
    <row r="7" spans="2:49" x14ac:dyDescent="0.3">
      <c r="B7" t="s">
        <v>22</v>
      </c>
      <c r="C7" s="14">
        <v>76</v>
      </c>
      <c r="D7" s="12">
        <f>153.8-C7</f>
        <v>77.800000000000011</v>
      </c>
      <c r="E7" s="5">
        <v>75.900000000000006</v>
      </c>
      <c r="F7" s="5">
        <v>75.8</v>
      </c>
      <c r="G7" s="5">
        <v>65.8</v>
      </c>
      <c r="H7" s="12">
        <f>152.6-G7</f>
        <v>86.8</v>
      </c>
      <c r="I7" s="5">
        <v>313.89999999999998</v>
      </c>
      <c r="J7" s="5">
        <v>94.1</v>
      </c>
      <c r="K7" s="5">
        <v>98.5</v>
      </c>
      <c r="L7" s="5">
        <v>110.5</v>
      </c>
      <c r="M7" s="5">
        <v>94.3</v>
      </c>
      <c r="N7" s="5">
        <v>84.2</v>
      </c>
      <c r="O7" s="5">
        <v>88.6</v>
      </c>
      <c r="P7" s="5">
        <v>88.2</v>
      </c>
      <c r="Q7" s="5">
        <v>100.9</v>
      </c>
      <c r="R7" s="5">
        <v>82</v>
      </c>
      <c r="S7" s="5">
        <v>90.1</v>
      </c>
      <c r="T7" s="5">
        <v>99.5</v>
      </c>
      <c r="U7" s="5">
        <v>105.7</v>
      </c>
      <c r="V7" s="5">
        <v>109.3</v>
      </c>
      <c r="W7" s="5">
        <v>110</v>
      </c>
      <c r="X7" s="5">
        <v>108.8</v>
      </c>
      <c r="Y7" s="5">
        <v>117.6</v>
      </c>
      <c r="Z7" s="5">
        <v>171.5</v>
      </c>
      <c r="AA7" s="5">
        <f>W7*1.25</f>
        <v>137.5</v>
      </c>
      <c r="AB7" s="5">
        <f t="shared" ref="AB7:AC7" si="17">X7*1.25</f>
        <v>136</v>
      </c>
      <c r="AC7" s="5">
        <f t="shared" si="17"/>
        <v>147</v>
      </c>
      <c r="AD7" s="5">
        <f>Z7*1.2</f>
        <v>205.79999999999998</v>
      </c>
      <c r="AF7" s="5">
        <v>285.5</v>
      </c>
      <c r="AG7" s="5">
        <v>305.60000000000002</v>
      </c>
      <c r="AH7" s="5">
        <f>SUM(G7:J7)</f>
        <v>560.6</v>
      </c>
      <c r="AI7" s="5">
        <f>SUM(K7:N7)</f>
        <v>387.5</v>
      </c>
      <c r="AJ7" s="5">
        <f>SUM(O7:R7)</f>
        <v>359.70000000000005</v>
      </c>
      <c r="AK7" s="5">
        <f>SUM(S7:V7)</f>
        <v>404.6</v>
      </c>
      <c r="AL7" s="5">
        <f>SUM(W7:Z7)</f>
        <v>507.9</v>
      </c>
      <c r="AM7" s="5">
        <f>SUM(AA7:AD7)</f>
        <v>626.29999999999995</v>
      </c>
      <c r="AN7" s="5">
        <f>AM7*1.07</f>
        <v>670.14099999999996</v>
      </c>
      <c r="AO7" s="5">
        <f>AN7*1.05</f>
        <v>703.64805000000001</v>
      </c>
      <c r="AP7" s="5">
        <f>AO7*1.03</f>
        <v>724.75749150000001</v>
      </c>
      <c r="AQ7" s="5">
        <f t="shared" ref="AQ7:AR8" si="18">AP7*1.02</f>
        <v>739.25264133000007</v>
      </c>
      <c r="AR7" s="5">
        <f t="shared" si="18"/>
        <v>754.03769415660008</v>
      </c>
      <c r="AS7" s="5">
        <f t="shared" ref="AS7:AS8" si="19">AR7*1.02</f>
        <v>769.11844803973213</v>
      </c>
      <c r="AT7" s="5">
        <f t="shared" ref="AT7:AT8" si="20">AS7*1.02</f>
        <v>784.50081700052681</v>
      </c>
      <c r="AU7" s="5">
        <f t="shared" ref="AU7:AU8" si="21">AT7*1.02</f>
        <v>800.19083334053732</v>
      </c>
      <c r="AV7" s="5">
        <f t="shared" ref="AV7:AV8" si="22">AU7*1.02</f>
        <v>816.19465000734806</v>
      </c>
      <c r="AW7" s="5">
        <f t="shared" ref="AW7:AW8" si="23">AV7*1.02</f>
        <v>832.51854300749505</v>
      </c>
    </row>
    <row r="8" spans="2:49" x14ac:dyDescent="0.3">
      <c r="B8" t="s">
        <v>23</v>
      </c>
      <c r="C8" s="14">
        <v>63</v>
      </c>
      <c r="D8" s="12">
        <f>134.7-C8</f>
        <v>71.699999999999989</v>
      </c>
      <c r="E8" s="5">
        <v>74.099999999999994</v>
      </c>
      <c r="F8" s="5">
        <v>112.2</v>
      </c>
      <c r="G8" s="5">
        <v>70.8</v>
      </c>
      <c r="H8" s="12">
        <f>164.1-G8</f>
        <v>93.3</v>
      </c>
      <c r="I8" s="5">
        <v>339</v>
      </c>
      <c r="J8" s="5">
        <v>166.4</v>
      </c>
      <c r="K8" s="5">
        <v>146.6</v>
      </c>
      <c r="L8" s="5">
        <v>158</v>
      </c>
      <c r="M8" s="5">
        <v>149.5</v>
      </c>
      <c r="N8" s="5">
        <v>157.5</v>
      </c>
      <c r="O8" s="5">
        <v>142.30000000000001</v>
      </c>
      <c r="P8" s="5">
        <v>155.5</v>
      </c>
      <c r="Q8" s="5">
        <v>148.69999999999999</v>
      </c>
      <c r="R8" s="5">
        <v>149.9</v>
      </c>
      <c r="S8" s="5">
        <v>136.19999999999999</v>
      </c>
      <c r="T8" s="5">
        <v>132.6</v>
      </c>
      <c r="U8" s="5">
        <v>128.19999999999999</v>
      </c>
      <c r="V8" s="5">
        <v>127.3</v>
      </c>
      <c r="W8" s="5">
        <v>134</v>
      </c>
      <c r="X8" s="5">
        <v>138.6</v>
      </c>
      <c r="Y8" s="5">
        <v>138.69999999999999</v>
      </c>
      <c r="Z8" s="5">
        <v>182.1</v>
      </c>
      <c r="AA8" s="5">
        <f>W8*1.15</f>
        <v>154.1</v>
      </c>
      <c r="AB8" s="5">
        <f t="shared" ref="AB8:AD8" si="24">X8*1.15</f>
        <v>159.38999999999999</v>
      </c>
      <c r="AC8" s="5">
        <f t="shared" si="24"/>
        <v>159.50499999999997</v>
      </c>
      <c r="AD8" s="5">
        <f t="shared" si="24"/>
        <v>209.41499999999996</v>
      </c>
      <c r="AF8" s="5">
        <v>306.2</v>
      </c>
      <c r="AG8" s="5">
        <v>320.89999999999998</v>
      </c>
      <c r="AH8" s="5">
        <f>SUM(G8:J8)</f>
        <v>669.5</v>
      </c>
      <c r="AI8" s="5">
        <f>SUM(K8:N8)</f>
        <v>611.6</v>
      </c>
      <c r="AJ8" s="5">
        <f>SUM(O8:R8)</f>
        <v>596.4</v>
      </c>
      <c r="AK8" s="5">
        <f>SUM(S8:V8)</f>
        <v>524.29999999999995</v>
      </c>
      <c r="AL8" s="5">
        <f>SUM(W8:Z8)</f>
        <v>593.4</v>
      </c>
      <c r="AM8" s="5">
        <f>SUM(AA8:AD8)</f>
        <v>682.41</v>
      </c>
      <c r="AN8" s="5">
        <f t="shared" ref="AN8" si="25">AM8*1.03</f>
        <v>702.88229999999999</v>
      </c>
      <c r="AO8" s="5">
        <f>AN8*1.02</f>
        <v>716.93994599999996</v>
      </c>
      <c r="AP8" s="5">
        <f t="shared" ref="AP8" si="26">AO8*1.02</f>
        <v>731.27874492000001</v>
      </c>
      <c r="AQ8" s="5">
        <f t="shared" si="18"/>
        <v>745.90431981840004</v>
      </c>
      <c r="AR8" s="5">
        <f t="shared" si="18"/>
        <v>760.82240621476808</v>
      </c>
      <c r="AS8" s="5">
        <f t="shared" si="19"/>
        <v>776.0388543390635</v>
      </c>
      <c r="AT8" s="5">
        <f t="shared" si="20"/>
        <v>791.55963142584483</v>
      </c>
      <c r="AU8" s="5">
        <f t="shared" si="21"/>
        <v>807.3908240543617</v>
      </c>
      <c r="AV8" s="5">
        <f t="shared" si="22"/>
        <v>823.53864053544896</v>
      </c>
      <c r="AW8" s="5">
        <f t="shared" si="23"/>
        <v>840.009413346158</v>
      </c>
    </row>
    <row r="9" spans="2:49" x14ac:dyDescent="0.3">
      <c r="B9" t="s">
        <v>24</v>
      </c>
      <c r="C9" s="12">
        <f>C6+C7+C8</f>
        <v>239</v>
      </c>
      <c r="D9" s="12">
        <f>D6+D7+D8</f>
        <v>267.10000000000002</v>
      </c>
      <c r="E9" s="5">
        <f>E6+E7+E8</f>
        <v>269.70000000000005</v>
      </c>
      <c r="F9" s="5">
        <f>F6+F7+F8</f>
        <v>300.89999999999998</v>
      </c>
      <c r="G9" s="5">
        <f t="shared" ref="G9" si="27">G6+G7+G8</f>
        <v>235.3</v>
      </c>
      <c r="H9" s="12">
        <f>H6+H7+H8</f>
        <v>282.59999999999997</v>
      </c>
      <c r="I9" s="5">
        <f>I6+I7+I8</f>
        <v>987.8</v>
      </c>
      <c r="J9" s="5">
        <f>J6+J7+J8</f>
        <v>408.1</v>
      </c>
      <c r="K9" s="5">
        <f t="shared" ref="K9:M9" si="28">K6+K7+K8</f>
        <v>381.2</v>
      </c>
      <c r="L9" s="5">
        <f t="shared" si="28"/>
        <v>430.9</v>
      </c>
      <c r="M9" s="5">
        <f t="shared" si="28"/>
        <v>397.2</v>
      </c>
      <c r="N9" s="5">
        <f t="shared" ref="N9:O9" si="29">N6+N7+N8</f>
        <v>404.3</v>
      </c>
      <c r="O9" s="5">
        <f t="shared" si="29"/>
        <v>391.4</v>
      </c>
      <c r="P9" s="5">
        <f t="shared" ref="P9:Q9" si="30">P6+P7+P8</f>
        <v>412.6</v>
      </c>
      <c r="Q9" s="5">
        <f t="shared" si="30"/>
        <v>432.5</v>
      </c>
      <c r="R9" s="5">
        <f t="shared" ref="R9" si="31">R6+R7+R8</f>
        <v>422.1</v>
      </c>
      <c r="S9" s="5">
        <f t="shared" ref="S9" si="32">S6+S7+S8</f>
        <v>413.4</v>
      </c>
      <c r="T9" s="5">
        <f t="shared" ref="T9:U9" si="33">T6+T7+T8</f>
        <v>416.29999999999995</v>
      </c>
      <c r="U9" s="5">
        <f t="shared" si="33"/>
        <v>410.3</v>
      </c>
      <c r="V9" s="5">
        <f t="shared" ref="V9" si="34">V6+V7+V8</f>
        <v>434</v>
      </c>
      <c r="W9" s="5">
        <f t="shared" ref="W9:X9" si="35">W6+W7+W8</f>
        <v>437.2</v>
      </c>
      <c r="X9" s="5">
        <f t="shared" si="35"/>
        <v>444.20000000000005</v>
      </c>
      <c r="Y9" s="5">
        <f t="shared" ref="Y9:AD9" si="36">Y6+Y7+Y8</f>
        <v>465.8</v>
      </c>
      <c r="Z9" s="5">
        <f t="shared" si="36"/>
        <v>641.9</v>
      </c>
      <c r="AA9" s="5">
        <f t="shared" si="36"/>
        <v>549.12579999999991</v>
      </c>
      <c r="AB9" s="5">
        <f t="shared" si="36"/>
        <v>570.69859999999994</v>
      </c>
      <c r="AC9" s="5">
        <f t="shared" si="36"/>
        <v>580.74400000000003</v>
      </c>
      <c r="AD9" s="5">
        <f t="shared" si="36"/>
        <v>759.45499999999993</v>
      </c>
      <c r="AF9" s="5">
        <f>AF6+AF7+AF8</f>
        <v>1053.5</v>
      </c>
      <c r="AG9" s="5">
        <f>AG6+AG7+AG8</f>
        <v>1076.5999999999999</v>
      </c>
      <c r="AH9" s="5">
        <f>AH6+AH7+AH8</f>
        <v>1913.8</v>
      </c>
      <c r="AI9" s="5">
        <f t="shared" ref="AI9:AR9" si="37">AI6+AI7+AI8</f>
        <v>1613.6</v>
      </c>
      <c r="AJ9" s="5">
        <f t="shared" si="37"/>
        <v>1658.6</v>
      </c>
      <c r="AK9" s="5">
        <f t="shared" si="37"/>
        <v>1673.9999999999998</v>
      </c>
      <c r="AL9" s="5">
        <f t="shared" si="37"/>
        <v>1989.1</v>
      </c>
      <c r="AM9" s="5">
        <f t="shared" si="37"/>
        <v>2460.0234</v>
      </c>
      <c r="AN9" s="5">
        <f t="shared" si="37"/>
        <v>2739.3030850000005</v>
      </c>
      <c r="AO9" s="5">
        <f t="shared" si="37"/>
        <v>3091.4975700999998</v>
      </c>
      <c r="AP9" s="5">
        <f t="shared" si="37"/>
        <v>3448.2745747700001</v>
      </c>
      <c r="AQ9" s="5">
        <f t="shared" si="37"/>
        <v>3741.9645508312801</v>
      </c>
      <c r="AR9" s="5">
        <f t="shared" si="37"/>
        <v>3980.4223920999148</v>
      </c>
      <c r="AS9" s="5">
        <f t="shared" ref="AS9:AW9" si="38">AS6+AS7+AS8</f>
        <v>4257.2758232801971</v>
      </c>
      <c r="AT9" s="5">
        <f t="shared" si="38"/>
        <v>4505.1484509998845</v>
      </c>
      <c r="AU9" s="5">
        <f t="shared" si="38"/>
        <v>4712.4149401228233</v>
      </c>
      <c r="AV9" s="5">
        <f t="shared" si="38"/>
        <v>4899.8082374071182</v>
      </c>
      <c r="AW9" s="5">
        <f t="shared" si="38"/>
        <v>5063.005901092547</v>
      </c>
    </row>
    <row r="10" spans="2:49" s="1" customFormat="1" x14ac:dyDescent="0.3">
      <c r="B10" s="1" t="s">
        <v>25</v>
      </c>
      <c r="C10" s="11">
        <f>C5-C9</f>
        <v>-134</v>
      </c>
      <c r="D10" s="11">
        <f>D5-D9</f>
        <v>-150.80000000000004</v>
      </c>
      <c r="E10" s="8">
        <f>E5-E9</f>
        <v>-144.30000000000004</v>
      </c>
      <c r="F10" s="8">
        <f>F5-F9</f>
        <v>-147.39999999999998</v>
      </c>
      <c r="G10" s="8">
        <f t="shared" ref="G10" si="39">G5-G9</f>
        <v>-70.300000000000011</v>
      </c>
      <c r="H10" s="11">
        <f>H5-H9</f>
        <v>-99.099999999999966</v>
      </c>
      <c r="I10" s="8">
        <f>I5-I9</f>
        <v>-847.7</v>
      </c>
      <c r="J10" s="8">
        <f>J5-J9</f>
        <v>-156.5</v>
      </c>
      <c r="K10" s="8">
        <f t="shared" ref="K10:M10" si="40">K5-K9</f>
        <v>-114.09999999999997</v>
      </c>
      <c r="L10" s="8">
        <f t="shared" si="40"/>
        <v>-146.19999999999993</v>
      </c>
      <c r="M10" s="8">
        <f t="shared" si="40"/>
        <v>-91.899999999999977</v>
      </c>
      <c r="N10" s="8">
        <f t="shared" ref="N10:O10" si="41">N5-N9</f>
        <v>-59.000000000000057</v>
      </c>
      <c r="O10" s="8">
        <f t="shared" si="41"/>
        <v>-39.399999999999977</v>
      </c>
      <c r="P10" s="8">
        <f t="shared" ref="P10:Q10" si="42">P5-P9</f>
        <v>-41.800000000000011</v>
      </c>
      <c r="Q10" s="8">
        <f t="shared" si="42"/>
        <v>-62.200000000000045</v>
      </c>
      <c r="R10" s="8">
        <f t="shared" ref="R10" si="43">R5-R9</f>
        <v>-17.800000000000011</v>
      </c>
      <c r="S10" s="8">
        <f t="shared" ref="S10" si="44">S5-S9</f>
        <v>4.2000000000000455</v>
      </c>
      <c r="T10" s="8">
        <f t="shared" ref="T10:U10" si="45">T5-T9</f>
        <v>10.100000000000023</v>
      </c>
      <c r="U10" s="8">
        <f t="shared" si="45"/>
        <v>40.000000000000057</v>
      </c>
      <c r="V10" s="8">
        <f t="shared" ref="V10" si="46">V5-V9</f>
        <v>65.799999999999955</v>
      </c>
      <c r="W10" s="8">
        <f t="shared" ref="W10:X10" si="47">W5-W9</f>
        <v>80.800000000000011</v>
      </c>
      <c r="X10" s="8">
        <f t="shared" si="47"/>
        <v>105.29999999999995</v>
      </c>
      <c r="Y10" s="8">
        <f t="shared" ref="Y10:AD10" si="48">Y5-Y9</f>
        <v>113.09999999999997</v>
      </c>
      <c r="Z10" s="8">
        <f t="shared" si="48"/>
        <v>11.100000000000023</v>
      </c>
      <c r="AA10" s="8">
        <f t="shared" si="48"/>
        <v>161.29020000000003</v>
      </c>
      <c r="AB10" s="8">
        <f t="shared" si="48"/>
        <v>188.77340000000004</v>
      </c>
      <c r="AC10" s="8">
        <f t="shared" si="48"/>
        <v>202.79600000000005</v>
      </c>
      <c r="AD10" s="8">
        <f t="shared" si="48"/>
        <v>90.387500000000159</v>
      </c>
      <c r="AF10" s="8">
        <f>AF5-AF9</f>
        <v>-623.5</v>
      </c>
      <c r="AG10" s="8">
        <f>AG5-AG9</f>
        <v>-576.39999999999986</v>
      </c>
      <c r="AH10" s="8">
        <f>AH5-AH9</f>
        <v>-1173.6000000000001</v>
      </c>
      <c r="AI10" s="8">
        <f t="shared" ref="AI10:AR10" si="49">AI5-AI9</f>
        <v>-411.19999999999982</v>
      </c>
      <c r="AJ10" s="8">
        <f t="shared" si="49"/>
        <v>-161.19999999999982</v>
      </c>
      <c r="AK10" s="8">
        <f t="shared" si="49"/>
        <v>120.10000000000014</v>
      </c>
      <c r="AL10" s="8">
        <f t="shared" si="49"/>
        <v>310.30000000000018</v>
      </c>
      <c r="AM10" s="8">
        <f t="shared" si="49"/>
        <v>643.24710000000005</v>
      </c>
      <c r="AN10" s="8">
        <f t="shared" si="49"/>
        <v>1308.9333149999998</v>
      </c>
      <c r="AO10" s="8">
        <f t="shared" si="49"/>
        <v>2049.7626579000002</v>
      </c>
      <c r="AP10" s="8">
        <f t="shared" si="49"/>
        <v>2926.8881079500006</v>
      </c>
      <c r="AQ10" s="8">
        <f t="shared" si="49"/>
        <v>3780.7274147783196</v>
      </c>
      <c r="AR10" s="8">
        <f t="shared" si="49"/>
        <v>4595.4464486950283</v>
      </c>
      <c r="AS10" s="8">
        <f t="shared" ref="AS10:AW10" si="50">AS5-AS9</f>
        <v>5176.1799015942415</v>
      </c>
      <c r="AT10" s="8">
        <f t="shared" si="50"/>
        <v>5682.9837318645095</v>
      </c>
      <c r="AU10" s="8">
        <f t="shared" si="50"/>
        <v>6087.0051737134354</v>
      </c>
      <c r="AV10" s="8">
        <f t="shared" si="50"/>
        <v>6439.5828821209543</v>
      </c>
      <c r="AW10" s="8">
        <f t="shared" si="50"/>
        <v>6729.9608632166492</v>
      </c>
    </row>
    <row r="11" spans="2:49" x14ac:dyDescent="0.3">
      <c r="B11" t="s">
        <v>26</v>
      </c>
      <c r="C11" s="14">
        <v>-5</v>
      </c>
      <c r="D11" s="12">
        <f>-9.6-C11</f>
        <v>-4.5999999999999996</v>
      </c>
      <c r="E11" s="5">
        <v>-3.4</v>
      </c>
      <c r="F11" s="5">
        <v>-2.1</v>
      </c>
      <c r="G11" s="5">
        <v>-3.3</v>
      </c>
      <c r="H11" s="12">
        <f>-3.8-G11</f>
        <v>-0.5</v>
      </c>
      <c r="I11" s="5">
        <v>-0.5</v>
      </c>
      <c r="J11" s="5">
        <v>-0.4</v>
      </c>
      <c r="K11" s="5">
        <v>-0.4</v>
      </c>
      <c r="L11" s="5">
        <v>-0.4</v>
      </c>
      <c r="M11" s="5">
        <v>-0.4</v>
      </c>
      <c r="N11" s="5">
        <v>-0.5</v>
      </c>
      <c r="O11" s="5">
        <v>-0.5</v>
      </c>
      <c r="P11" s="5">
        <v>-1.5</v>
      </c>
      <c r="Q11" s="5">
        <v>-5.5</v>
      </c>
      <c r="R11" s="5">
        <v>-12.8</v>
      </c>
      <c r="S11" s="5">
        <v>-20.9</v>
      </c>
      <c r="T11" s="5">
        <v>-30.3</v>
      </c>
      <c r="U11" s="5">
        <v>-36.9</v>
      </c>
      <c r="V11" s="5">
        <v>-44.5</v>
      </c>
      <c r="W11" s="5">
        <v>-43.4</v>
      </c>
      <c r="X11" s="5">
        <v>-46.6</v>
      </c>
      <c r="Y11" s="5">
        <v>-52.1</v>
      </c>
      <c r="Z11" s="5">
        <v>-54.7</v>
      </c>
      <c r="AA11" s="5">
        <f>W11*1.2</f>
        <v>-52.08</v>
      </c>
      <c r="AB11" s="5">
        <f t="shared" ref="AB11:AD11" si="51">X11*1.2</f>
        <v>-55.92</v>
      </c>
      <c r="AC11" s="5">
        <f t="shared" si="51"/>
        <v>-62.519999999999996</v>
      </c>
      <c r="AD11" s="5">
        <f t="shared" si="51"/>
        <v>-65.64</v>
      </c>
      <c r="AF11" s="5">
        <v>-10.5</v>
      </c>
      <c r="AG11" s="5">
        <v>-15.1</v>
      </c>
      <c r="AH11" s="5">
        <f>SUM(G11:J11)</f>
        <v>-4.7</v>
      </c>
      <c r="AI11" s="5">
        <f>SUM(K11:N11)</f>
        <v>-1.7000000000000002</v>
      </c>
      <c r="AJ11" s="5">
        <f>SUM(O11:R11)</f>
        <v>-20.3</v>
      </c>
      <c r="AK11" s="5">
        <f>SUM(S11:V11)</f>
        <v>-132.6</v>
      </c>
      <c r="AL11" s="5">
        <f>SUM(W11:Z11)</f>
        <v>-196.8</v>
      </c>
      <c r="AM11" s="5">
        <f>SUM(AA11:AD11)</f>
        <v>-236.15999999999997</v>
      </c>
      <c r="AN11" s="5">
        <f>AM11*1.15</f>
        <v>-271.58399999999995</v>
      </c>
      <c r="AO11" s="5">
        <f t="shared" ref="AO11:AW11" si="52">AN11*1.15</f>
        <v>-312.32159999999993</v>
      </c>
      <c r="AP11" s="5">
        <f t="shared" si="52"/>
        <v>-359.16983999999991</v>
      </c>
      <c r="AQ11" s="5">
        <f t="shared" si="52"/>
        <v>-413.04531599999984</v>
      </c>
      <c r="AR11" s="5">
        <f t="shared" si="52"/>
        <v>-475.00211339999976</v>
      </c>
      <c r="AS11" s="5">
        <f t="shared" si="52"/>
        <v>-546.25243040999965</v>
      </c>
      <c r="AT11" s="5">
        <f t="shared" si="52"/>
        <v>-628.1902949714995</v>
      </c>
      <c r="AU11" s="5">
        <f t="shared" si="52"/>
        <v>-722.41883921722433</v>
      </c>
      <c r="AV11" s="5">
        <f t="shared" si="52"/>
        <v>-830.78166509980792</v>
      </c>
      <c r="AW11" s="5">
        <f t="shared" si="52"/>
        <v>-955.39891486477904</v>
      </c>
    </row>
    <row r="12" spans="2:49" x14ac:dyDescent="0.3">
      <c r="B12" t="s">
        <v>27</v>
      </c>
      <c r="C12" s="14">
        <v>0</v>
      </c>
      <c r="D12" s="12">
        <f>0.2-C12</f>
        <v>0.2</v>
      </c>
      <c r="E12" s="5">
        <v>0.2</v>
      </c>
      <c r="F12" s="5">
        <v>2.7</v>
      </c>
      <c r="G12" s="5">
        <v>4.5999999999999996</v>
      </c>
      <c r="H12" s="12">
        <f>10.2-G12</f>
        <v>5.6</v>
      </c>
      <c r="I12" s="5">
        <v>2.1</v>
      </c>
      <c r="J12" s="5">
        <v>1.8</v>
      </c>
      <c r="K12" s="5">
        <v>1.8</v>
      </c>
      <c r="L12" s="5">
        <v>0.6</v>
      </c>
      <c r="M12" s="5">
        <v>0.6</v>
      </c>
      <c r="N12" s="5">
        <v>0.6</v>
      </c>
      <c r="O12" s="5">
        <v>0.6</v>
      </c>
      <c r="P12" s="5">
        <v>0.7</v>
      </c>
      <c r="Q12" s="5">
        <v>1.1000000000000001</v>
      </c>
      <c r="R12" s="5">
        <v>1.7</v>
      </c>
      <c r="S12" s="5">
        <v>0</v>
      </c>
      <c r="T12" s="5">
        <v>0</v>
      </c>
      <c r="U12" s="5">
        <v>0.7</v>
      </c>
      <c r="V12" s="5">
        <v>0.1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F12" s="5">
        <v>3.4</v>
      </c>
      <c r="AG12" s="5">
        <v>3.1</v>
      </c>
      <c r="AH12" s="5">
        <f>SUM(G12:J12)</f>
        <v>14.1</v>
      </c>
      <c r="AI12" s="5">
        <f>SUM(K12:N12)</f>
        <v>3.6</v>
      </c>
      <c r="AJ12" s="5">
        <f>SUM(O12:R12)</f>
        <v>4.0999999999999996</v>
      </c>
      <c r="AK12" s="5">
        <f>SUM(S12:V12)</f>
        <v>0.79999999999999993</v>
      </c>
      <c r="AL12" s="5">
        <f>SUM(W12:Z12)</f>
        <v>0</v>
      </c>
      <c r="AM12" s="5">
        <f>SUM(AA12:AD12)</f>
        <v>0</v>
      </c>
      <c r="AN12" s="5">
        <f t="shared" ref="AN12:AS12" si="53">AM12*0.9</f>
        <v>0</v>
      </c>
      <c r="AO12" s="5">
        <f t="shared" si="53"/>
        <v>0</v>
      </c>
      <c r="AP12" s="5">
        <f t="shared" si="53"/>
        <v>0</v>
      </c>
      <c r="AQ12" s="5">
        <f t="shared" si="53"/>
        <v>0</v>
      </c>
      <c r="AR12" s="5">
        <f t="shared" si="53"/>
        <v>0</v>
      </c>
      <c r="AS12" s="5">
        <f t="shared" si="53"/>
        <v>0</v>
      </c>
      <c r="AT12" s="5">
        <f t="shared" ref="AT12" si="54">AS12*0.9</f>
        <v>0</v>
      </c>
      <c r="AU12" s="5">
        <f t="shared" ref="AU12" si="55">AT12*0.9</f>
        <v>0</v>
      </c>
      <c r="AV12" s="5">
        <f t="shared" ref="AV12" si="56">AU12*0.9</f>
        <v>0</v>
      </c>
      <c r="AW12" s="5">
        <f t="shared" ref="AW12" si="57">AV12*0.9</f>
        <v>0</v>
      </c>
    </row>
    <row r="13" spans="2:49" x14ac:dyDescent="0.3">
      <c r="B13" t="s">
        <v>33</v>
      </c>
      <c r="C13" s="14">
        <v>-1</v>
      </c>
      <c r="D13" s="12">
        <f>-2-C13</f>
        <v>-1</v>
      </c>
      <c r="E13" s="5">
        <v>-0.8</v>
      </c>
      <c r="F13" s="5">
        <v>2.7</v>
      </c>
      <c r="G13" s="5">
        <v>-13.7</v>
      </c>
      <c r="H13" s="12">
        <f>-10-G13</f>
        <v>3.6999999999999993</v>
      </c>
      <c r="I13" s="5">
        <v>9.1999999999999993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F13" s="5">
        <v>-48.1</v>
      </c>
      <c r="AG13" s="5">
        <v>0</v>
      </c>
      <c r="AH13" s="5">
        <f>SUM(G13:J13)</f>
        <v>-0.80000000000000071</v>
      </c>
      <c r="AI13" s="5">
        <f>SUM(K13:N13)</f>
        <v>0</v>
      </c>
      <c r="AJ13" s="5">
        <f>SUM(O13:R13)</f>
        <v>0</v>
      </c>
      <c r="AK13" s="5">
        <f>SUM(S13:V13)</f>
        <v>0</v>
      </c>
      <c r="AL13" s="5">
        <f>SUM(W13:Z13)</f>
        <v>0</v>
      </c>
      <c r="AM13" s="5">
        <f>SUM(AA13:AD13)</f>
        <v>0</v>
      </c>
      <c r="AN13" s="5">
        <f t="shared" ref="AN13:AS13" si="58">AM13*1.5</f>
        <v>0</v>
      </c>
      <c r="AO13" s="5">
        <f t="shared" si="58"/>
        <v>0</v>
      </c>
      <c r="AP13" s="5">
        <f t="shared" si="58"/>
        <v>0</v>
      </c>
      <c r="AQ13" s="5">
        <f t="shared" si="58"/>
        <v>0</v>
      </c>
      <c r="AR13" s="5">
        <f t="shared" si="58"/>
        <v>0</v>
      </c>
      <c r="AS13" s="5">
        <f t="shared" si="58"/>
        <v>0</v>
      </c>
      <c r="AT13" s="5">
        <f t="shared" ref="AT13" si="59">AS13*1.5</f>
        <v>0</v>
      </c>
      <c r="AU13" s="5">
        <f t="shared" ref="AU13" si="60">AT13*1.5</f>
        <v>0</v>
      </c>
      <c r="AV13" s="5">
        <f t="shared" ref="AV13" si="61">AU13*1.5</f>
        <v>0</v>
      </c>
      <c r="AW13" s="5">
        <f t="shared" ref="AW13" si="62">AV13*1.5</f>
        <v>0</v>
      </c>
    </row>
    <row r="14" spans="2:49" x14ac:dyDescent="0.3">
      <c r="B14" t="s">
        <v>28</v>
      </c>
      <c r="C14" s="14">
        <v>0</v>
      </c>
      <c r="D14" s="12">
        <f>0.4-C14</f>
        <v>0.4</v>
      </c>
      <c r="E14" s="5">
        <v>-2.2999999999999998</v>
      </c>
      <c r="F14" s="5">
        <v>4.7</v>
      </c>
      <c r="G14" s="5">
        <v>-6.1</v>
      </c>
      <c r="H14" s="12">
        <f>-4.5-G14</f>
        <v>1.5999999999999996</v>
      </c>
      <c r="I14" s="5">
        <v>3.3</v>
      </c>
      <c r="J14" s="5">
        <v>-2.1</v>
      </c>
      <c r="K14" s="5">
        <v>4.9000000000000004</v>
      </c>
      <c r="L14" s="5">
        <v>2.1</v>
      </c>
      <c r="M14" s="5">
        <v>8.5</v>
      </c>
      <c r="N14" s="5">
        <v>64.099999999999994</v>
      </c>
      <c r="O14" s="5">
        <v>59.9</v>
      </c>
      <c r="P14" s="5">
        <v>135.80000000000001</v>
      </c>
      <c r="Q14" s="5">
        <v>65</v>
      </c>
      <c r="R14" s="5">
        <v>-44.6</v>
      </c>
      <c r="S14" s="5">
        <v>4.0999999999999996</v>
      </c>
      <c r="T14" s="5">
        <v>10.3</v>
      </c>
      <c r="U14" s="5">
        <v>-3.9</v>
      </c>
      <c r="V14" s="5">
        <v>4</v>
      </c>
      <c r="W14" s="5">
        <v>13.5</v>
      </c>
      <c r="X14" s="5">
        <v>11.2</v>
      </c>
      <c r="Y14" s="5">
        <v>8.1</v>
      </c>
      <c r="Z14" s="5">
        <v>-14.8</v>
      </c>
      <c r="AA14" s="5">
        <v>0</v>
      </c>
      <c r="AB14" s="5">
        <v>0</v>
      </c>
      <c r="AC14" s="5">
        <v>0</v>
      </c>
      <c r="AD14" s="5">
        <v>0</v>
      </c>
      <c r="AF14" s="5">
        <v>2.6</v>
      </c>
      <c r="AG14" s="5">
        <v>2.9</v>
      </c>
      <c r="AH14" s="5">
        <f>SUM(G14:J14)</f>
        <v>-3.3000000000000003</v>
      </c>
      <c r="AI14" s="5">
        <f>SUM(K14:N14)</f>
        <v>79.599999999999994</v>
      </c>
      <c r="AJ14" s="5">
        <f>SUM(O14:R14)</f>
        <v>216.10000000000005</v>
      </c>
      <c r="AK14" s="5">
        <f>SUM(S14:V14)</f>
        <v>14.5</v>
      </c>
      <c r="AL14" s="5">
        <f>SUM(W14:Z14)</f>
        <v>17.999999999999996</v>
      </c>
      <c r="AM14" s="5">
        <f>SUM(AA14:AD14)</f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</row>
    <row r="15" spans="2:49" s="1" customFormat="1" x14ac:dyDescent="0.3">
      <c r="B15" s="1" t="s">
        <v>29</v>
      </c>
      <c r="C15" s="11">
        <f>C10-C11-C12-C13-C14</f>
        <v>-128</v>
      </c>
      <c r="D15" s="11">
        <f>D10-D11-D12-D13-D14</f>
        <v>-145.80000000000004</v>
      </c>
      <c r="E15" s="8">
        <f>E10-E11-E12-E13-E14</f>
        <v>-138</v>
      </c>
      <c r="F15" s="8">
        <f>F10-F11-F12-F13-F14</f>
        <v>-155.39999999999995</v>
      </c>
      <c r="G15" s="8">
        <f t="shared" ref="G15" si="63">G10-G11-G12-G13-G14</f>
        <v>-51.800000000000004</v>
      </c>
      <c r="H15" s="11">
        <f>H10-H11-H12-H13-H14</f>
        <v>-109.49999999999996</v>
      </c>
      <c r="I15" s="8">
        <f>I10-I11-I12-I13-I14</f>
        <v>-861.80000000000007</v>
      </c>
      <c r="J15" s="8">
        <f>J10-J11-J12-J13-J14</f>
        <v>-155.80000000000001</v>
      </c>
      <c r="K15" s="8">
        <f t="shared" ref="K15:M15" si="64">K10-K11-K12-K13-K14</f>
        <v>-120.39999999999996</v>
      </c>
      <c r="L15" s="8">
        <f t="shared" si="64"/>
        <v>-148.49999999999991</v>
      </c>
      <c r="M15" s="8">
        <f t="shared" si="64"/>
        <v>-100.59999999999997</v>
      </c>
      <c r="N15" s="8">
        <f t="shared" ref="N15:O15" si="65">N10-N11-N12-N13-N14</f>
        <v>-123.20000000000005</v>
      </c>
      <c r="O15" s="8">
        <f t="shared" si="65"/>
        <v>-99.399999999999977</v>
      </c>
      <c r="P15" s="8">
        <f t="shared" ref="P15:Q15" si="66">P10-P11-P12-P13-P14</f>
        <v>-176.8</v>
      </c>
      <c r="Q15" s="8">
        <f t="shared" si="66"/>
        <v>-122.80000000000004</v>
      </c>
      <c r="R15" s="8">
        <f t="shared" ref="R15" si="67">R10-R11-R12-R13-R14</f>
        <v>37.899999999999991</v>
      </c>
      <c r="S15" s="8">
        <f t="shared" ref="S15" si="68">S10-S11-S12-S13-S14</f>
        <v>21.000000000000043</v>
      </c>
      <c r="T15" s="8">
        <f t="shared" ref="T15:U15" si="69">T10-T11-T12-T13-T14</f>
        <v>30.100000000000019</v>
      </c>
      <c r="U15" s="8">
        <f t="shared" si="69"/>
        <v>80.100000000000065</v>
      </c>
      <c r="V15" s="8">
        <f t="shared" ref="V15" si="70">V10-V11-V12-V13-V14</f>
        <v>106.19999999999996</v>
      </c>
      <c r="W15" s="8">
        <f t="shared" ref="W15:AA15" si="71">W10-W11-W12-W13-W14</f>
        <v>110.70000000000002</v>
      </c>
      <c r="X15" s="8">
        <f t="shared" si="71"/>
        <v>140.69999999999996</v>
      </c>
      <c r="Y15" s="8">
        <f t="shared" si="71"/>
        <v>157.09999999999997</v>
      </c>
      <c r="Z15" s="8">
        <f t="shared" si="71"/>
        <v>80.600000000000023</v>
      </c>
      <c r="AA15" s="8">
        <f t="shared" si="71"/>
        <v>213.37020000000001</v>
      </c>
      <c r="AB15" s="8">
        <f t="shared" ref="AB15:AD15" si="72">AB10-AB11-AB12-AB13-AB14</f>
        <v>244.69340000000005</v>
      </c>
      <c r="AC15" s="8">
        <f t="shared" si="72"/>
        <v>265.31600000000003</v>
      </c>
      <c r="AD15" s="8">
        <f t="shared" si="72"/>
        <v>156.02750000000015</v>
      </c>
      <c r="AF15" s="8">
        <f>AF10-AF11-AF12-AF13-AF14</f>
        <v>-570.9</v>
      </c>
      <c r="AG15" s="8">
        <f>AG10-AG11-AG12-AG13-AG14</f>
        <v>-567.29999999999984</v>
      </c>
      <c r="AH15" s="8">
        <f>AH10-AH11-AH12-AH13-AH14</f>
        <v>-1178.9000000000001</v>
      </c>
      <c r="AI15" s="8">
        <f>AI10-AI11-AI12-AI13-AI14</f>
        <v>-492.69999999999982</v>
      </c>
      <c r="AJ15" s="8">
        <f t="shared" ref="AJ15:AR15" si="73">AJ10-AJ11-AJ12-AJ13-AJ14</f>
        <v>-361.09999999999985</v>
      </c>
      <c r="AK15" s="8">
        <f t="shared" si="73"/>
        <v>237.40000000000012</v>
      </c>
      <c r="AL15" s="8">
        <f t="shared" si="73"/>
        <v>489.10000000000019</v>
      </c>
      <c r="AM15" s="8">
        <f t="shared" si="73"/>
        <v>879.40710000000001</v>
      </c>
      <c r="AN15" s="8">
        <f t="shared" si="73"/>
        <v>1580.5173149999996</v>
      </c>
      <c r="AO15" s="8">
        <f t="shared" si="73"/>
        <v>2362.0842579</v>
      </c>
      <c r="AP15" s="8">
        <f t="shared" si="73"/>
        <v>3286.0579479500007</v>
      </c>
      <c r="AQ15" s="8">
        <f t="shared" si="73"/>
        <v>4193.7727307783198</v>
      </c>
      <c r="AR15" s="8">
        <f t="shared" si="73"/>
        <v>5070.4485620950281</v>
      </c>
      <c r="AS15" s="8">
        <f t="shared" ref="AS15:AW15" si="74">AS10-AS11-AS12-AS13-AS14</f>
        <v>5722.4323320042413</v>
      </c>
      <c r="AT15" s="8">
        <f t="shared" si="74"/>
        <v>6311.174026836009</v>
      </c>
      <c r="AU15" s="8">
        <f t="shared" si="74"/>
        <v>6809.42401293066</v>
      </c>
      <c r="AV15" s="8">
        <f t="shared" si="74"/>
        <v>7270.3645472207627</v>
      </c>
      <c r="AW15" s="8">
        <f t="shared" si="74"/>
        <v>7685.359778081428</v>
      </c>
    </row>
    <row r="16" spans="2:49" x14ac:dyDescent="0.3">
      <c r="B16" t="s">
        <v>30</v>
      </c>
      <c r="C16" s="14">
        <v>3</v>
      </c>
      <c r="D16" s="12">
        <f>6.5-C16</f>
        <v>3.5</v>
      </c>
      <c r="E16" s="5">
        <v>2</v>
      </c>
      <c r="F16" s="5">
        <v>3.9</v>
      </c>
      <c r="G16" s="5">
        <v>2.6</v>
      </c>
      <c r="H16" s="12">
        <f>3.5-G16</f>
        <v>0.89999999999999991</v>
      </c>
      <c r="I16" s="5">
        <v>-8.5</v>
      </c>
      <c r="J16" s="5">
        <v>-7.6</v>
      </c>
      <c r="K16" s="5">
        <v>3.1</v>
      </c>
      <c r="L16" s="5">
        <v>-5.7</v>
      </c>
      <c r="M16" s="5">
        <v>1.4</v>
      </c>
      <c r="N16" s="5">
        <v>33</v>
      </c>
      <c r="O16" s="5">
        <v>2</v>
      </c>
      <c r="P16" s="5">
        <v>2.6</v>
      </c>
      <c r="Q16" s="5">
        <v>1.1000000000000001</v>
      </c>
      <c r="R16" s="5">
        <v>4.4000000000000004</v>
      </c>
      <c r="S16" s="5">
        <v>1.7</v>
      </c>
      <c r="T16" s="5">
        <v>2.2000000000000002</v>
      </c>
      <c r="U16" s="5">
        <v>6.5</v>
      </c>
      <c r="V16" s="5">
        <v>9.3000000000000007</v>
      </c>
      <c r="W16" s="5">
        <v>4.7</v>
      </c>
      <c r="X16" s="5">
        <v>5.2</v>
      </c>
      <c r="Y16" s="5">
        <v>7.8</v>
      </c>
      <c r="Z16" s="5">
        <v>3.6</v>
      </c>
      <c r="AA16" s="5">
        <f>AA15*0.04</f>
        <v>8.534808</v>
      </c>
      <c r="AB16" s="5">
        <f t="shared" ref="AB16:AD16" si="75">AB15*0.04</f>
        <v>9.7877360000000024</v>
      </c>
      <c r="AC16" s="5">
        <f t="shared" si="75"/>
        <v>10.612640000000001</v>
      </c>
      <c r="AD16" s="5">
        <f t="shared" si="75"/>
        <v>6.2411000000000056</v>
      </c>
      <c r="AF16" s="5">
        <v>9.1</v>
      </c>
      <c r="AG16" s="5">
        <v>12.4</v>
      </c>
      <c r="AH16" s="5">
        <f>SUM(G16:J16)</f>
        <v>-12.6</v>
      </c>
      <c r="AI16" s="5">
        <f>SUM(K16:N16)</f>
        <v>31.8</v>
      </c>
      <c r="AJ16" s="5">
        <f>SUM(O16:R16)</f>
        <v>10.1</v>
      </c>
      <c r="AK16" s="5">
        <f>SUM(S16:V16)</f>
        <v>19.700000000000003</v>
      </c>
      <c r="AL16" s="5">
        <f>SUM(W16:Z16)</f>
        <v>21.3</v>
      </c>
      <c r="AM16" s="5">
        <f>SUM(AA16:AD16)</f>
        <v>35.176284000000003</v>
      </c>
      <c r="AN16" s="5">
        <f t="shared" ref="AN16:AQ16" si="76">AN15*0.1</f>
        <v>158.05173149999996</v>
      </c>
      <c r="AO16" s="5">
        <f t="shared" si="76"/>
        <v>236.20842579000001</v>
      </c>
      <c r="AP16" s="5">
        <f t="shared" si="76"/>
        <v>328.60579479500007</v>
      </c>
      <c r="AQ16" s="5">
        <f t="shared" si="76"/>
        <v>419.377273077832</v>
      </c>
      <c r="AR16" s="5">
        <f>AR15*0.15</f>
        <v>760.56728431425415</v>
      </c>
      <c r="AS16" s="5">
        <f t="shared" ref="AS16:AW16" si="77">AS15*0.15</f>
        <v>858.36484980063619</v>
      </c>
      <c r="AT16" s="5">
        <f t="shared" si="77"/>
        <v>946.67610402540129</v>
      </c>
      <c r="AU16" s="5">
        <f t="shared" si="77"/>
        <v>1021.4136019395989</v>
      </c>
      <c r="AV16" s="5">
        <f t="shared" si="77"/>
        <v>1090.5546820831144</v>
      </c>
      <c r="AW16" s="5">
        <f t="shared" si="77"/>
        <v>1152.8039667122141</v>
      </c>
    </row>
    <row r="17" spans="2:166" x14ac:dyDescent="0.3">
      <c r="B17" t="s">
        <v>68</v>
      </c>
      <c r="C17" s="14"/>
      <c r="D17" s="12"/>
      <c r="E17" s="5"/>
      <c r="F17" s="5"/>
      <c r="G17" s="5"/>
      <c r="H17" s="12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>
        <v>5.8</v>
      </c>
      <c r="Z17" s="5">
        <v>-2.1</v>
      </c>
      <c r="AA17" s="5">
        <f>AA15*0.01</f>
        <v>2.133702</v>
      </c>
      <c r="AB17" s="5">
        <f t="shared" ref="AB17:AD17" si="78">AB15*0.01</f>
        <v>2.4469340000000006</v>
      </c>
      <c r="AC17" s="5">
        <f t="shared" si="78"/>
        <v>2.6531600000000002</v>
      </c>
      <c r="AD17" s="5">
        <f t="shared" si="78"/>
        <v>1.5602750000000014</v>
      </c>
      <c r="AF17" s="5"/>
      <c r="AG17" s="5"/>
      <c r="AH17" s="5"/>
      <c r="AI17" s="5"/>
      <c r="AJ17" s="5"/>
      <c r="AK17" s="5"/>
      <c r="AL17" s="5">
        <f>SUM(W17:Z17)</f>
        <v>3.6999999999999997</v>
      </c>
      <c r="AM17" s="5">
        <f>SUM(AA17:AD17)</f>
        <v>8.7940710000000006</v>
      </c>
      <c r="AN17" s="5">
        <f t="shared" ref="AN17:AW17" si="79">AN15*0.02</f>
        <v>31.610346299999993</v>
      </c>
      <c r="AO17" s="5">
        <f t="shared" si="79"/>
        <v>47.241685158000003</v>
      </c>
      <c r="AP17" s="5">
        <f t="shared" si="79"/>
        <v>65.721158959000007</v>
      </c>
      <c r="AQ17" s="5">
        <f t="shared" si="79"/>
        <v>83.875454615566397</v>
      </c>
      <c r="AR17" s="5">
        <f t="shared" si="79"/>
        <v>101.40897124190056</v>
      </c>
      <c r="AS17" s="5">
        <f t="shared" si="79"/>
        <v>114.44864664008483</v>
      </c>
      <c r="AT17" s="5">
        <f t="shared" si="79"/>
        <v>126.22348053672019</v>
      </c>
      <c r="AU17" s="5">
        <f t="shared" si="79"/>
        <v>136.1884802586132</v>
      </c>
      <c r="AV17" s="5">
        <f t="shared" si="79"/>
        <v>145.40729094441525</v>
      </c>
      <c r="AW17" s="5">
        <f t="shared" si="79"/>
        <v>153.70719556162857</v>
      </c>
    </row>
    <row r="18" spans="2:166" s="1" customFormat="1" x14ac:dyDescent="0.3">
      <c r="B18" s="1" t="s">
        <v>31</v>
      </c>
      <c r="C18" s="11">
        <f>C15-C16</f>
        <v>-131</v>
      </c>
      <c r="D18" s="11">
        <f>D15-D16</f>
        <v>-149.30000000000004</v>
      </c>
      <c r="E18" s="8">
        <f>E15-E16</f>
        <v>-140</v>
      </c>
      <c r="F18" s="8">
        <f>F15-F16</f>
        <v>-159.29999999999995</v>
      </c>
      <c r="G18" s="8">
        <f t="shared" ref="G18" si="80">G15-G16</f>
        <v>-54.400000000000006</v>
      </c>
      <c r="H18" s="11">
        <f>H15-H16</f>
        <v>-110.39999999999996</v>
      </c>
      <c r="I18" s="8">
        <f>I15-I16</f>
        <v>-853.30000000000007</v>
      </c>
      <c r="J18" s="8">
        <f>J15-J16</f>
        <v>-148.20000000000002</v>
      </c>
      <c r="K18" s="8">
        <f t="shared" ref="K18:M18" si="81">K15-K16</f>
        <v>-123.49999999999996</v>
      </c>
      <c r="L18" s="8">
        <f t="shared" si="81"/>
        <v>-142.79999999999993</v>
      </c>
      <c r="M18" s="8">
        <f t="shared" si="81"/>
        <v>-101.99999999999997</v>
      </c>
      <c r="N18" s="8">
        <f t="shared" ref="N18:O18" si="82">N15-N16</f>
        <v>-156.20000000000005</v>
      </c>
      <c r="O18" s="8">
        <f t="shared" si="82"/>
        <v>-101.39999999999998</v>
      </c>
      <c r="P18" s="8">
        <f t="shared" ref="P18:Q18" si="83">P15-P16</f>
        <v>-179.4</v>
      </c>
      <c r="Q18" s="8">
        <f t="shared" si="83"/>
        <v>-123.90000000000003</v>
      </c>
      <c r="R18" s="8">
        <f t="shared" ref="R18" si="84">R15-R16</f>
        <v>33.499999999999993</v>
      </c>
      <c r="S18" s="8">
        <f t="shared" ref="S18" si="85">S15-S16</f>
        <v>19.300000000000043</v>
      </c>
      <c r="T18" s="8">
        <f t="shared" ref="T18:U18" si="86">T15-T16</f>
        <v>27.90000000000002</v>
      </c>
      <c r="U18" s="8">
        <f t="shared" si="86"/>
        <v>73.600000000000065</v>
      </c>
      <c r="V18" s="8">
        <f t="shared" ref="V18" si="87">V15-V16</f>
        <v>96.899999999999963</v>
      </c>
      <c r="W18" s="8">
        <f t="shared" ref="W18:X18" si="88">W15-W16</f>
        <v>106.00000000000001</v>
      </c>
      <c r="X18" s="8">
        <f t="shared" si="88"/>
        <v>135.49999999999997</v>
      </c>
      <c r="Y18" s="8">
        <f>Y15-Y16-Y17</f>
        <v>143.49999999999994</v>
      </c>
      <c r="Z18" s="8">
        <f t="shared" ref="Z18:AD18" si="89">Z15-Z16-Z17</f>
        <v>79.100000000000023</v>
      </c>
      <c r="AA18" s="8">
        <f t="shared" si="89"/>
        <v>202.70169000000001</v>
      </c>
      <c r="AB18" s="8">
        <f t="shared" si="89"/>
        <v>232.45873000000006</v>
      </c>
      <c r="AC18" s="8">
        <f t="shared" si="89"/>
        <v>252.05020000000002</v>
      </c>
      <c r="AD18" s="8">
        <f t="shared" si="89"/>
        <v>148.22612500000014</v>
      </c>
      <c r="AF18" s="8">
        <f>AF15-AF16</f>
        <v>-580</v>
      </c>
      <c r="AG18" s="8">
        <f>AG15-AG16</f>
        <v>-579.69999999999982</v>
      </c>
      <c r="AH18" s="8">
        <f>AH15-AH16</f>
        <v>-1166.3000000000002</v>
      </c>
      <c r="AI18" s="8">
        <f t="shared" ref="AI18" si="90">AI15-AI16</f>
        <v>-524.49999999999977</v>
      </c>
      <c r="AJ18" s="8">
        <f t="shared" ref="AJ18" si="91">AJ15-AJ16</f>
        <v>-371.19999999999987</v>
      </c>
      <c r="AK18" s="8">
        <f t="shared" ref="AK18" si="92">AK15-AK16</f>
        <v>217.7000000000001</v>
      </c>
      <c r="AL18" s="8">
        <f t="shared" ref="AL18:AW18" si="93">AL15-AL16-AL17</f>
        <v>464.10000000000019</v>
      </c>
      <c r="AM18" s="8">
        <f t="shared" si="93"/>
        <v>835.43674499999997</v>
      </c>
      <c r="AN18" s="8">
        <f t="shared" si="93"/>
        <v>1390.8552371999997</v>
      </c>
      <c r="AO18" s="8">
        <f t="shared" si="93"/>
        <v>2078.6341469519998</v>
      </c>
      <c r="AP18" s="8">
        <f t="shared" si="93"/>
        <v>2891.7309941960007</v>
      </c>
      <c r="AQ18" s="8">
        <f t="shared" si="93"/>
        <v>3690.5200030849214</v>
      </c>
      <c r="AR18" s="8">
        <f t="shared" si="93"/>
        <v>4208.4723065388735</v>
      </c>
      <c r="AS18" s="8">
        <f t="shared" si="93"/>
        <v>4749.6188355635204</v>
      </c>
      <c r="AT18" s="8">
        <f t="shared" si="93"/>
        <v>5238.2744422738879</v>
      </c>
      <c r="AU18" s="8">
        <f t="shared" si="93"/>
        <v>5651.821930732448</v>
      </c>
      <c r="AV18" s="8">
        <f t="shared" si="93"/>
        <v>6034.4025741932337</v>
      </c>
      <c r="AW18" s="8">
        <f t="shared" si="93"/>
        <v>6378.8486158075857</v>
      </c>
      <c r="AX18" s="1">
        <f t="shared" ref="AX18:CC18" si="94">AW18*(1+$AZ$25)</f>
        <v>6315.0601296495097</v>
      </c>
      <c r="AY18" s="1">
        <f t="shared" si="94"/>
        <v>6251.9095283530141</v>
      </c>
      <c r="AZ18" s="1">
        <f t="shared" si="94"/>
        <v>6189.3904330694841</v>
      </c>
      <c r="BA18" s="1">
        <f t="shared" si="94"/>
        <v>6127.4965287387895</v>
      </c>
      <c r="BB18" s="1">
        <f t="shared" si="94"/>
        <v>6066.2215634514014</v>
      </c>
      <c r="BC18" s="1">
        <f t="shared" si="94"/>
        <v>6005.5593478168876</v>
      </c>
      <c r="BD18" s="1">
        <f t="shared" si="94"/>
        <v>5945.5037543387189</v>
      </c>
      <c r="BE18" s="1">
        <f t="shared" si="94"/>
        <v>5886.0487167953315</v>
      </c>
      <c r="BF18" s="1">
        <f t="shared" si="94"/>
        <v>5827.188229627378</v>
      </c>
      <c r="BG18" s="1">
        <f t="shared" si="94"/>
        <v>5768.9163473311037</v>
      </c>
      <c r="BH18" s="1">
        <f t="shared" si="94"/>
        <v>5711.2271838577926</v>
      </c>
      <c r="BI18" s="1">
        <f t="shared" si="94"/>
        <v>5654.1149120192149</v>
      </c>
      <c r="BJ18" s="1">
        <f t="shared" si="94"/>
        <v>5597.5737628990228</v>
      </c>
      <c r="BK18" s="1">
        <f t="shared" si="94"/>
        <v>5541.5980252700328</v>
      </c>
      <c r="BL18" s="1">
        <f t="shared" si="94"/>
        <v>5486.1820450173327</v>
      </c>
      <c r="BM18" s="1">
        <f t="shared" si="94"/>
        <v>5431.3202245671591</v>
      </c>
      <c r="BN18" s="1">
        <f t="shared" si="94"/>
        <v>5377.0070223214871</v>
      </c>
      <c r="BO18" s="1">
        <f t="shared" si="94"/>
        <v>5323.236952098272</v>
      </c>
      <c r="BP18" s="1">
        <f t="shared" si="94"/>
        <v>5270.0045825772895</v>
      </c>
      <c r="BQ18" s="1">
        <f t="shared" si="94"/>
        <v>5217.3045367515169</v>
      </c>
      <c r="BR18" s="1">
        <f t="shared" si="94"/>
        <v>5165.1314913840015</v>
      </c>
      <c r="BS18" s="1">
        <f t="shared" si="94"/>
        <v>5113.4801764701615</v>
      </c>
      <c r="BT18" s="1">
        <f t="shared" si="94"/>
        <v>5062.34537470546</v>
      </c>
      <c r="BU18" s="1">
        <f t="shared" si="94"/>
        <v>5011.7219209584055</v>
      </c>
      <c r="BV18" s="1">
        <f t="shared" si="94"/>
        <v>4961.6047017488218</v>
      </c>
      <c r="BW18" s="1">
        <f t="shared" si="94"/>
        <v>4911.9886547313336</v>
      </c>
      <c r="BX18" s="1">
        <f t="shared" si="94"/>
        <v>4862.8687681840202</v>
      </c>
      <c r="BY18" s="1">
        <f t="shared" si="94"/>
        <v>4814.2400805021798</v>
      </c>
      <c r="BZ18" s="1">
        <f t="shared" si="94"/>
        <v>4766.0976796971581</v>
      </c>
      <c r="CA18" s="1">
        <f t="shared" si="94"/>
        <v>4718.4367029001869</v>
      </c>
      <c r="CB18" s="1">
        <f t="shared" si="94"/>
        <v>4671.2523358711851</v>
      </c>
      <c r="CC18" s="1">
        <f t="shared" si="94"/>
        <v>4624.539812512473</v>
      </c>
      <c r="CD18" s="1">
        <f t="shared" ref="CD18:DI18" si="95">CC18*(1+$AZ$25)</f>
        <v>4578.2944143873483</v>
      </c>
      <c r="CE18" s="1">
        <f t="shared" si="95"/>
        <v>4532.5114702434748</v>
      </c>
      <c r="CF18" s="1">
        <f t="shared" si="95"/>
        <v>4487.18635554104</v>
      </c>
      <c r="CG18" s="1">
        <f t="shared" si="95"/>
        <v>4442.3144919856295</v>
      </c>
      <c r="CH18" s="1">
        <f t="shared" si="95"/>
        <v>4397.8913470657735</v>
      </c>
      <c r="CI18" s="1">
        <f t="shared" si="95"/>
        <v>4353.9124335951155</v>
      </c>
      <c r="CJ18" s="1">
        <f t="shared" si="95"/>
        <v>4310.3733092591647</v>
      </c>
      <c r="CK18" s="1">
        <f t="shared" si="95"/>
        <v>4267.2695761665727</v>
      </c>
      <c r="CL18" s="1">
        <f t="shared" si="95"/>
        <v>4224.5968804049071</v>
      </c>
      <c r="CM18" s="1">
        <f t="shared" si="95"/>
        <v>4182.3509116008581</v>
      </c>
      <c r="CN18" s="1">
        <f t="shared" si="95"/>
        <v>4140.5274024848495</v>
      </c>
      <c r="CO18" s="1">
        <f t="shared" si="95"/>
        <v>4099.1221284600006</v>
      </c>
      <c r="CP18" s="1">
        <f t="shared" si="95"/>
        <v>4058.1309071754004</v>
      </c>
      <c r="CQ18" s="1">
        <f t="shared" si="95"/>
        <v>4017.5495981036465</v>
      </c>
      <c r="CR18" s="1">
        <f t="shared" si="95"/>
        <v>3977.3741021226101</v>
      </c>
      <c r="CS18" s="1">
        <f t="shared" si="95"/>
        <v>3937.6003611013839</v>
      </c>
      <c r="CT18" s="1">
        <f t="shared" si="95"/>
        <v>3898.22435749037</v>
      </c>
      <c r="CU18" s="1">
        <f t="shared" si="95"/>
        <v>3859.2421139154662</v>
      </c>
      <c r="CV18" s="1">
        <f t="shared" si="95"/>
        <v>3820.6496927763114</v>
      </c>
      <c r="CW18" s="1">
        <f t="shared" si="95"/>
        <v>3782.4431958485484</v>
      </c>
      <c r="CX18" s="1">
        <f t="shared" si="95"/>
        <v>3744.6187638900628</v>
      </c>
      <c r="CY18" s="1">
        <f t="shared" si="95"/>
        <v>3707.1725762511624</v>
      </c>
      <c r="CZ18" s="1">
        <f t="shared" si="95"/>
        <v>3670.1008504886508</v>
      </c>
      <c r="DA18" s="1">
        <f t="shared" si="95"/>
        <v>3633.3998419837644</v>
      </c>
      <c r="DB18" s="1">
        <f t="shared" si="95"/>
        <v>3597.0658435639266</v>
      </c>
      <c r="DC18" s="1">
        <f t="shared" si="95"/>
        <v>3561.0951851282871</v>
      </c>
      <c r="DD18" s="1">
        <f t="shared" si="95"/>
        <v>3525.484233277004</v>
      </c>
      <c r="DE18" s="1">
        <f t="shared" si="95"/>
        <v>3490.2293909442337</v>
      </c>
      <c r="DF18" s="1">
        <f t="shared" si="95"/>
        <v>3455.3270970347912</v>
      </c>
      <c r="DG18" s="1">
        <f t="shared" si="95"/>
        <v>3420.7738260644433</v>
      </c>
      <c r="DH18" s="1">
        <f t="shared" si="95"/>
        <v>3386.5660878037988</v>
      </c>
      <c r="DI18" s="1">
        <f t="shared" si="95"/>
        <v>3352.7004269257609</v>
      </c>
      <c r="DJ18" s="1">
        <f t="shared" ref="DJ18:EO18" si="96">DI18*(1+$AZ$25)</f>
        <v>3319.1734226565031</v>
      </c>
      <c r="DK18" s="1">
        <f t="shared" si="96"/>
        <v>3285.981688429938</v>
      </c>
      <c r="DL18" s="1">
        <f t="shared" si="96"/>
        <v>3253.1218715456384</v>
      </c>
      <c r="DM18" s="1">
        <f t="shared" si="96"/>
        <v>3220.5906528301821</v>
      </c>
      <c r="DN18" s="1">
        <f t="shared" si="96"/>
        <v>3188.3847463018801</v>
      </c>
      <c r="DO18" s="1">
        <f t="shared" si="96"/>
        <v>3156.5008988388613</v>
      </c>
      <c r="DP18" s="1">
        <f t="shared" si="96"/>
        <v>3124.9358898504724</v>
      </c>
      <c r="DQ18" s="1">
        <f t="shared" si="96"/>
        <v>3093.6865309519676</v>
      </c>
      <c r="DR18" s="1">
        <f t="shared" si="96"/>
        <v>3062.7496656424478</v>
      </c>
      <c r="DS18" s="1">
        <f t="shared" si="96"/>
        <v>3032.1221689860231</v>
      </c>
      <c r="DT18" s="1">
        <f t="shared" si="96"/>
        <v>3001.800947296163</v>
      </c>
      <c r="DU18" s="1">
        <f t="shared" si="96"/>
        <v>2971.7829378232013</v>
      </c>
      <c r="DV18" s="1">
        <f t="shared" si="96"/>
        <v>2942.0651084449692</v>
      </c>
      <c r="DW18" s="1">
        <f t="shared" si="96"/>
        <v>2912.6444573605195</v>
      </c>
      <c r="DX18" s="1">
        <f t="shared" si="96"/>
        <v>2883.5180127869144</v>
      </c>
      <c r="DY18" s="1">
        <f t="shared" si="96"/>
        <v>2854.6828326590453</v>
      </c>
      <c r="DZ18" s="1">
        <f t="shared" si="96"/>
        <v>2826.1360043324548</v>
      </c>
      <c r="EA18" s="1">
        <f t="shared" si="96"/>
        <v>2797.8746442891302</v>
      </c>
      <c r="EB18" s="1">
        <f t="shared" si="96"/>
        <v>2769.8958978462388</v>
      </c>
      <c r="EC18" s="1">
        <f t="shared" si="96"/>
        <v>2742.1969388677762</v>
      </c>
      <c r="ED18" s="1">
        <f t="shared" si="96"/>
        <v>2714.7749694790982</v>
      </c>
      <c r="EE18" s="1">
        <f t="shared" si="96"/>
        <v>2687.6272197843073</v>
      </c>
      <c r="EF18" s="1">
        <f t="shared" si="96"/>
        <v>2660.750947586464</v>
      </c>
      <c r="EG18" s="1">
        <f t="shared" si="96"/>
        <v>2634.1434381105992</v>
      </c>
      <c r="EH18" s="1">
        <f t="shared" si="96"/>
        <v>2607.8020037294932</v>
      </c>
      <c r="EI18" s="1">
        <f t="shared" si="96"/>
        <v>2581.7239836921981</v>
      </c>
      <c r="EJ18" s="1">
        <f t="shared" si="96"/>
        <v>2555.9067438552761</v>
      </c>
      <c r="EK18" s="1">
        <f t="shared" si="96"/>
        <v>2530.3476764167235</v>
      </c>
      <c r="EL18" s="1">
        <f t="shared" si="96"/>
        <v>2505.0441996525565</v>
      </c>
      <c r="EM18" s="1">
        <f t="shared" si="96"/>
        <v>2479.993757656031</v>
      </c>
      <c r="EN18" s="1">
        <f t="shared" si="96"/>
        <v>2455.1938200794707</v>
      </c>
      <c r="EO18" s="1">
        <f t="shared" si="96"/>
        <v>2430.641881878676</v>
      </c>
      <c r="EP18" s="1">
        <f t="shared" ref="EP18:FJ18" si="97">EO18*(1+$AZ$25)</f>
        <v>2406.3354630598892</v>
      </c>
      <c r="EQ18" s="1">
        <f t="shared" si="97"/>
        <v>2382.2721084292903</v>
      </c>
      <c r="ER18" s="1">
        <f t="shared" si="97"/>
        <v>2358.4493873449974</v>
      </c>
      <c r="ES18" s="1">
        <f t="shared" si="97"/>
        <v>2334.8648934715475</v>
      </c>
      <c r="ET18" s="1">
        <f t="shared" si="97"/>
        <v>2311.5162445368319</v>
      </c>
      <c r="EU18" s="1">
        <f t="shared" si="97"/>
        <v>2288.4010820914636</v>
      </c>
      <c r="EV18" s="1">
        <f t="shared" si="97"/>
        <v>2265.517071270549</v>
      </c>
      <c r="EW18" s="1">
        <f t="shared" si="97"/>
        <v>2242.8619005578435</v>
      </c>
      <c r="EX18" s="1">
        <f t="shared" si="97"/>
        <v>2220.4332815522648</v>
      </c>
      <c r="EY18" s="1">
        <f t="shared" si="97"/>
        <v>2198.228948736742</v>
      </c>
      <c r="EZ18" s="1">
        <f t="shared" si="97"/>
        <v>2176.2466592493747</v>
      </c>
      <c r="FA18" s="1">
        <f t="shared" si="97"/>
        <v>2154.4841926568811</v>
      </c>
      <c r="FB18" s="1">
        <f t="shared" si="97"/>
        <v>2132.9393507303121</v>
      </c>
      <c r="FC18" s="1">
        <f t="shared" si="97"/>
        <v>2111.6099572230091</v>
      </c>
      <c r="FD18" s="1">
        <f t="shared" si="97"/>
        <v>2090.4938576507789</v>
      </c>
      <c r="FE18" s="1">
        <f t="shared" si="97"/>
        <v>2069.588919074271</v>
      </c>
      <c r="FF18" s="1">
        <f t="shared" si="97"/>
        <v>2048.893029883528</v>
      </c>
      <c r="FG18" s="1">
        <f t="shared" si="97"/>
        <v>2028.4040995846926</v>
      </c>
      <c r="FH18" s="1">
        <f t="shared" si="97"/>
        <v>2008.1200585888457</v>
      </c>
      <c r="FI18" s="1">
        <f t="shared" si="97"/>
        <v>1988.0388580029573</v>
      </c>
      <c r="FJ18" s="1">
        <f t="shared" si="97"/>
        <v>1968.1584694229277</v>
      </c>
    </row>
    <row r="19" spans="2:166" x14ac:dyDescent="0.3">
      <c r="B19" t="s">
        <v>2</v>
      </c>
      <c r="C19" s="12">
        <v>1742</v>
      </c>
      <c r="D19" s="12">
        <v>1742</v>
      </c>
      <c r="E19" s="5">
        <v>1742</v>
      </c>
      <c r="F19" s="5">
        <v>1742</v>
      </c>
      <c r="G19" s="5">
        <v>1821.2</v>
      </c>
      <c r="H19" s="12">
        <v>1742</v>
      </c>
      <c r="I19" s="5">
        <v>1742</v>
      </c>
      <c r="J19" s="5">
        <v>1742</v>
      </c>
      <c r="K19" s="5">
        <v>1821.2</v>
      </c>
      <c r="L19" s="5">
        <v>1821.2</v>
      </c>
      <c r="M19" s="5">
        <v>1821.2</v>
      </c>
      <c r="N19" s="5">
        <v>1821.2</v>
      </c>
      <c r="O19" s="5">
        <v>1821.2</v>
      </c>
      <c r="P19" s="5">
        <v>1821.2</v>
      </c>
      <c r="Q19" s="5">
        <v>1821.2</v>
      </c>
      <c r="R19" s="5">
        <v>1821.2</v>
      </c>
      <c r="S19" s="5">
        <v>1821.2</v>
      </c>
      <c r="T19" s="5">
        <v>1821.2</v>
      </c>
      <c r="U19" s="5">
        <v>1821.2</v>
      </c>
      <c r="V19" s="5">
        <v>1821.2</v>
      </c>
      <c r="W19" s="5">
        <v>1821.2</v>
      </c>
      <c r="X19" s="5">
        <f>2142.3+96.1+1</f>
        <v>2239.4</v>
      </c>
      <c r="Y19" s="5">
        <f>2180.7+96.4+1</f>
        <v>2278.1</v>
      </c>
      <c r="Z19" s="5">
        <f>2249+95.4+1</f>
        <v>2345.4</v>
      </c>
      <c r="AA19" s="5">
        <f t="shared" ref="AA19:AD19" si="98">2249+95.4+1</f>
        <v>2345.4</v>
      </c>
      <c r="AB19" s="5">
        <f t="shared" si="98"/>
        <v>2345.4</v>
      </c>
      <c r="AC19" s="5">
        <f t="shared" si="98"/>
        <v>2345.4</v>
      </c>
      <c r="AD19" s="5">
        <f t="shared" si="98"/>
        <v>2345.4</v>
      </c>
      <c r="AF19" s="5">
        <v>1742</v>
      </c>
      <c r="AG19" s="5">
        <v>1742</v>
      </c>
      <c r="AH19" s="5">
        <v>1742</v>
      </c>
      <c r="AI19" s="5">
        <v>1821.2</v>
      </c>
      <c r="AJ19" s="5">
        <v>1821.2</v>
      </c>
      <c r="AK19" s="5">
        <v>1821.2</v>
      </c>
      <c r="AL19" s="5">
        <f t="shared" ref="AL19:AW19" si="99">2249+95.4+1</f>
        <v>2345.4</v>
      </c>
      <c r="AM19" s="5">
        <f t="shared" si="99"/>
        <v>2345.4</v>
      </c>
      <c r="AN19" s="5">
        <f t="shared" si="99"/>
        <v>2345.4</v>
      </c>
      <c r="AO19" s="5">
        <f t="shared" si="99"/>
        <v>2345.4</v>
      </c>
      <c r="AP19" s="5">
        <f t="shared" si="99"/>
        <v>2345.4</v>
      </c>
      <c r="AQ19" s="5">
        <f t="shared" si="99"/>
        <v>2345.4</v>
      </c>
      <c r="AR19" s="5">
        <f t="shared" si="99"/>
        <v>2345.4</v>
      </c>
      <c r="AS19" s="5">
        <f t="shared" si="99"/>
        <v>2345.4</v>
      </c>
      <c r="AT19" s="5">
        <f t="shared" si="99"/>
        <v>2345.4</v>
      </c>
      <c r="AU19" s="5">
        <f t="shared" si="99"/>
        <v>2345.4</v>
      </c>
      <c r="AV19" s="5">
        <f t="shared" si="99"/>
        <v>2345.4</v>
      </c>
      <c r="AW19" s="5">
        <f t="shared" si="99"/>
        <v>2345.4</v>
      </c>
    </row>
    <row r="20" spans="2:166" s="1" customFormat="1" x14ac:dyDescent="0.3">
      <c r="B20" s="1" t="s">
        <v>32</v>
      </c>
      <c r="C20" s="13">
        <f>C18/C19</f>
        <v>-7.520091848450057E-2</v>
      </c>
      <c r="D20" s="13">
        <f>D18/D19</f>
        <v>-8.5706084959816325E-2</v>
      </c>
      <c r="E20" s="7">
        <f>E18/E19</f>
        <v>-8.0367393800229628E-2</v>
      </c>
      <c r="F20" s="7">
        <f>F18/F19</f>
        <v>-9.1446613088404113E-2</v>
      </c>
      <c r="G20" s="7">
        <f t="shared" ref="G20" si="100">G18/G19</f>
        <v>-2.9870415110915882E-2</v>
      </c>
      <c r="H20" s="13">
        <f>H18/H19</f>
        <v>-6.3375430539609617E-2</v>
      </c>
      <c r="I20" s="7">
        <f>I18/I19</f>
        <v>-0.48983926521239957</v>
      </c>
      <c r="J20" s="7">
        <f>J18/J19</f>
        <v>-8.5074626865671646E-2</v>
      </c>
      <c r="K20" s="7">
        <f t="shared" ref="K20:M20" si="101">K18/K19</f>
        <v>-6.7812431363935846E-2</v>
      </c>
      <c r="L20" s="7">
        <f t="shared" si="101"/>
        <v>-7.8409839666154141E-2</v>
      </c>
      <c r="M20" s="7">
        <f t="shared" si="101"/>
        <v>-5.6007028332967258E-2</v>
      </c>
      <c r="N20" s="7">
        <f t="shared" ref="N20:O20" si="102">N18/N19</f>
        <v>-8.5767625741269518E-2</v>
      </c>
      <c r="O20" s="7">
        <f t="shared" si="102"/>
        <v>-5.5677575225126279E-2</v>
      </c>
      <c r="P20" s="7">
        <f t="shared" ref="P20:Q20" si="103">P18/P19</f>
        <v>-9.8506479244454201E-2</v>
      </c>
      <c r="Q20" s="7">
        <f t="shared" si="103"/>
        <v>-6.8032066769163207E-2</v>
      </c>
      <c r="R20" s="7">
        <f t="shared" ref="R20" si="104">R18/R19</f>
        <v>1.8394465187788266E-2</v>
      </c>
      <c r="S20" s="7">
        <f t="shared" ref="S20" si="105">S18/S19</f>
        <v>1.0597408302218341E-2</v>
      </c>
      <c r="T20" s="7">
        <f t="shared" ref="T20:U20" si="106">T18/T19</f>
        <v>1.5319569514605764E-2</v>
      </c>
      <c r="U20" s="7">
        <f t="shared" si="106"/>
        <v>4.0412914561827398E-2</v>
      </c>
      <c r="V20" s="7">
        <f t="shared" ref="V20" si="107">V18/V19</f>
        <v>5.320667691631889E-2</v>
      </c>
      <c r="W20" s="7">
        <f t="shared" ref="W20:X20" si="108">W18/W19</f>
        <v>5.8203382385240504E-2</v>
      </c>
      <c r="X20" s="7">
        <f t="shared" si="108"/>
        <v>6.0507278735375529E-2</v>
      </c>
      <c r="Y20" s="7">
        <f t="shared" ref="Y20:Z20" si="109">Y18/Y19</f>
        <v>6.2991089065449257E-2</v>
      </c>
      <c r="Z20" s="7">
        <f t="shared" si="109"/>
        <v>3.3725590517608948E-2</v>
      </c>
      <c r="AA20" s="7">
        <f t="shared" ref="AA20:AD20" si="110">AA18/AA19</f>
        <v>8.6425211051419801E-2</v>
      </c>
      <c r="AB20" s="7">
        <f t="shared" si="110"/>
        <v>9.9112616184872535E-2</v>
      </c>
      <c r="AC20" s="7">
        <f t="shared" si="110"/>
        <v>0.10746576276967681</v>
      </c>
      <c r="AD20" s="7">
        <f t="shared" si="110"/>
        <v>6.3198654813677896E-2</v>
      </c>
      <c r="AF20" s="7">
        <f>AF18/AF19</f>
        <v>-0.33295063145809417</v>
      </c>
      <c r="AG20" s="7">
        <f>AG18/AG19</f>
        <v>-0.33277841561423638</v>
      </c>
      <c r="AH20" s="7">
        <f>AH18/AH19</f>
        <v>-0.66951779563719871</v>
      </c>
      <c r="AI20" s="7">
        <f t="shared" ref="AI20" si="111">AI18/AI19</f>
        <v>-0.28799692510432667</v>
      </c>
      <c r="AJ20" s="7">
        <f t="shared" ref="AJ20" si="112">AJ18/AJ19</f>
        <v>-0.20382165605095534</v>
      </c>
      <c r="AK20" s="7">
        <f t="shared" ref="AK20" si="113">AK18/AK19</f>
        <v>0.1195365692949704</v>
      </c>
      <c r="AL20" s="7">
        <f t="shared" ref="AL20" si="114">AL18/AL19</f>
        <v>0.19787669480685605</v>
      </c>
      <c r="AM20" s="7">
        <f t="shared" ref="AM20" si="115">AM18/AM19</f>
        <v>0.35620224481964696</v>
      </c>
      <c r="AN20" s="7">
        <f t="shared" ref="AN20" si="116">AN18/AN19</f>
        <v>0.59301408595548721</v>
      </c>
      <c r="AO20" s="7">
        <f t="shared" ref="AO20" si="117">AO18/AO19</f>
        <v>0.8862599756766435</v>
      </c>
      <c r="AP20" s="7">
        <f t="shared" ref="AP20" si="118">AP18/AP19</f>
        <v>1.232937236375885</v>
      </c>
      <c r="AQ20" s="7">
        <f t="shared" ref="AQ20" si="119">AQ18/AQ19</f>
        <v>1.5735141140466109</v>
      </c>
      <c r="AR20" s="7">
        <f t="shared" ref="AR20:AS20" si="120">AR18/AR19</f>
        <v>1.7943516272443392</v>
      </c>
      <c r="AS20" s="7">
        <f t="shared" si="120"/>
        <v>2.0250783813266482</v>
      </c>
      <c r="AT20" s="7">
        <f t="shared" ref="AT20:AW20" si="121">AT18/AT19</f>
        <v>2.2334247643360996</v>
      </c>
      <c r="AU20" s="7">
        <f t="shared" si="121"/>
        <v>2.4097475614958848</v>
      </c>
      <c r="AV20" s="7">
        <f t="shared" si="121"/>
        <v>2.5728671331940109</v>
      </c>
      <c r="AW20" s="7">
        <f t="shared" si="121"/>
        <v>2.7197273879967536</v>
      </c>
    </row>
    <row r="21" spans="2:166" x14ac:dyDescent="0.3">
      <c r="D21" s="14"/>
      <c r="H21" s="14"/>
    </row>
    <row r="22" spans="2:166" x14ac:dyDescent="0.3">
      <c r="B22" s="1" t="s">
        <v>34</v>
      </c>
      <c r="D22" s="14"/>
      <c r="G22" s="15">
        <f>G3/C3-1</f>
        <v>0.52866666666666684</v>
      </c>
      <c r="H22" s="15">
        <f>H3/D3-1</f>
        <v>0.45859872611464958</v>
      </c>
      <c r="I22" s="9">
        <f>I3/E3-1</f>
        <v>0.51916010498687659</v>
      </c>
      <c r="J22" s="9">
        <f t="shared" ref="J22" si="122">J3/F3-1</f>
        <v>0.40409764603313003</v>
      </c>
      <c r="K22" s="9">
        <f t="shared" ref="K22" si="123">K3/G3-1</f>
        <v>0.48800697775839508</v>
      </c>
      <c r="L22" s="9">
        <f t="shared" ref="L22" si="124">L3/H3-1</f>
        <v>0.49106788408098478</v>
      </c>
      <c r="M22" s="9">
        <f t="shared" ref="M22" si="125">M3/I3-1</f>
        <v>0.35487214927436095</v>
      </c>
      <c r="N22" s="9">
        <f t="shared" ref="N22" si="126">N3/J3-1</f>
        <v>0.34399254889785769</v>
      </c>
      <c r="O22" s="9">
        <f t="shared" ref="O22" si="127">O3/K3-1</f>
        <v>0.30832356389214532</v>
      </c>
      <c r="P22" s="9">
        <f t="shared" ref="P22" si="128">P3/L3-1</f>
        <v>0.2593184238551649</v>
      </c>
      <c r="Q22" s="9">
        <f t="shared" ref="Q22" si="129">Q3/M3-1</f>
        <v>0.21882172915072662</v>
      </c>
      <c r="R22" s="9">
        <f t="shared" ref="R22" si="130">R3/N3-1</f>
        <v>0.17486717486717507</v>
      </c>
      <c r="S22" s="9">
        <f t="shared" ref="S22" si="131">S3/O3-1</f>
        <v>0.17652329749103957</v>
      </c>
      <c r="T22" s="9">
        <f t="shared" ref="T22" si="132">T3/P3-1</f>
        <v>0.12748414376321349</v>
      </c>
      <c r="U22" s="9">
        <f t="shared" ref="U22" si="133">U3/Q3-1</f>
        <v>0.16802678384599301</v>
      </c>
      <c r="V22" s="9">
        <f t="shared" ref="V22" si="134">V3/R3-1</f>
        <v>0.19622493118364126</v>
      </c>
      <c r="W22" s="9">
        <f t="shared" ref="W22" si="135">W3/S3-1</f>
        <v>0.20773038842345759</v>
      </c>
      <c r="X22" s="9">
        <f t="shared" ref="X22" si="136">X3/T3-1</f>
        <v>0.27151696981061324</v>
      </c>
      <c r="Y22" s="9">
        <f t="shared" ref="Y22" si="137">Y3/U3-1</f>
        <v>0.29971336438552476</v>
      </c>
      <c r="Z22" s="9">
        <f t="shared" ref="Z22" si="138">Z3/V3-1</f>
        <v>0.36012491781722566</v>
      </c>
      <c r="AA22" s="9">
        <f t="shared" ref="AA22" si="139">AA3/W3-1</f>
        <v>0.39999999999999991</v>
      </c>
      <c r="AB22" s="9">
        <f t="shared" ref="AB22" si="140">AB3/X3-1</f>
        <v>0.39999999999999991</v>
      </c>
      <c r="AC22" s="9">
        <f t="shared" ref="AC22" si="141">AC3/Y3-1</f>
        <v>0.35000000000000009</v>
      </c>
      <c r="AD22" s="9">
        <f t="shared" ref="AD22" si="142">AD3/Z3-1</f>
        <v>0.30000000000000004</v>
      </c>
      <c r="AG22" s="9">
        <f>AG3/AF3-1</f>
        <v>0.24722875377897213</v>
      </c>
      <c r="AH22" s="9">
        <f>AH3/AG3-1</f>
        <v>0.47145165634257991</v>
      </c>
      <c r="AI22" s="9">
        <f t="shared" ref="AI22:AR22" si="143">AI3/AH3-1</f>
        <v>0.41100027454928201</v>
      </c>
      <c r="AJ22" s="9">
        <f t="shared" si="143"/>
        <v>0.23615254896873772</v>
      </c>
      <c r="AK22" s="9">
        <f t="shared" si="143"/>
        <v>0.1674799307413819</v>
      </c>
      <c r="AL22" s="9">
        <f t="shared" si="143"/>
        <v>0.28776234775965137</v>
      </c>
      <c r="AM22" s="9">
        <f t="shared" si="143"/>
        <v>0.35846129685209727</v>
      </c>
      <c r="AN22" s="9">
        <f t="shared" si="143"/>
        <v>0.30000000000000004</v>
      </c>
      <c r="AO22" s="9">
        <f t="shared" si="143"/>
        <v>0.27</v>
      </c>
      <c r="AP22" s="9">
        <f t="shared" si="143"/>
        <v>0.24</v>
      </c>
      <c r="AQ22" s="9">
        <f t="shared" si="143"/>
        <v>0.17999999999999994</v>
      </c>
      <c r="AR22" s="9">
        <f t="shared" si="143"/>
        <v>0.1399999999999999</v>
      </c>
      <c r="AS22" s="9">
        <f t="shared" ref="AS22" si="144">AS3/AR3-1</f>
        <v>0.10000000000000009</v>
      </c>
      <c r="AT22" s="9">
        <f t="shared" ref="AT22" si="145">AT3/AS3-1</f>
        <v>8.0000000000000071E-2</v>
      </c>
      <c r="AU22" s="9">
        <f t="shared" ref="AU22" si="146">AU3/AT3-1</f>
        <v>6.0000000000000053E-2</v>
      </c>
      <c r="AV22" s="9">
        <f t="shared" ref="AV22" si="147">AV3/AU3-1</f>
        <v>5.0000000000000044E-2</v>
      </c>
      <c r="AW22" s="9">
        <f t="shared" ref="AW22" si="148">AW3/AV3-1</f>
        <v>4.0000000000000036E-2</v>
      </c>
    </row>
    <row r="23" spans="2:166" x14ac:dyDescent="0.3">
      <c r="B23" s="1" t="s">
        <v>35</v>
      </c>
      <c r="D23" s="15">
        <f t="shared" ref="D23:I23" si="149">D5/D3</f>
        <v>0.6734221192819918</v>
      </c>
      <c r="E23" s="9">
        <f t="shared" si="149"/>
        <v>0.65826771653543314</v>
      </c>
      <c r="F23" s="9">
        <f t="shared" si="149"/>
        <v>0.66913687881429817</v>
      </c>
      <c r="G23" s="15">
        <f t="shared" si="149"/>
        <v>0.71958133449629302</v>
      </c>
      <c r="H23" s="15">
        <f t="shared" si="149"/>
        <v>0.72846367606192941</v>
      </c>
      <c r="I23" s="9">
        <f t="shared" si="149"/>
        <v>0.48410504492052514</v>
      </c>
      <c r="J23" s="9">
        <f t="shared" ref="J23:N23" si="150">J5/J3</f>
        <v>0.78112387457311394</v>
      </c>
      <c r="K23" s="9">
        <f t="shared" si="150"/>
        <v>0.78282532239155933</v>
      </c>
      <c r="L23" s="9">
        <f t="shared" si="150"/>
        <v>0.75798722044728439</v>
      </c>
      <c r="M23" s="9">
        <f t="shared" si="150"/>
        <v>0.7786279010456516</v>
      </c>
      <c r="N23" s="9">
        <f t="shared" si="150"/>
        <v>0.79764379764379756</v>
      </c>
      <c r="O23" s="9">
        <f t="shared" ref="O23:Z23" si="151">O5/O3</f>
        <v>0.78853046594982079</v>
      </c>
      <c r="P23" s="9">
        <f t="shared" si="151"/>
        <v>0.78393234672304446</v>
      </c>
      <c r="Q23" s="9">
        <f t="shared" si="151"/>
        <v>0.77484829462230587</v>
      </c>
      <c r="R23" s="9">
        <f t="shared" si="151"/>
        <v>0.79492725127801811</v>
      </c>
      <c r="S23" s="9">
        <f t="shared" si="151"/>
        <v>0.79512566641279514</v>
      </c>
      <c r="T23" s="9">
        <f t="shared" si="151"/>
        <v>0.79954997187324206</v>
      </c>
      <c r="U23" s="9">
        <f t="shared" si="151"/>
        <v>0.80670010748835552</v>
      </c>
      <c r="V23" s="9">
        <f t="shared" si="151"/>
        <v>0.82149901380670609</v>
      </c>
      <c r="W23" s="9">
        <f t="shared" si="151"/>
        <v>0.81664827368752957</v>
      </c>
      <c r="X23" s="9">
        <f t="shared" si="151"/>
        <v>0.8103524553900604</v>
      </c>
      <c r="Y23" s="9">
        <f t="shared" si="151"/>
        <v>0.79793246037215715</v>
      </c>
      <c r="Z23" s="9">
        <f t="shared" si="151"/>
        <v>0.78912386706948645</v>
      </c>
      <c r="AA23" s="9">
        <f t="shared" ref="AA23:AD23" si="152">AA5/AA3</f>
        <v>0.8</v>
      </c>
      <c r="AB23" s="9">
        <f t="shared" si="152"/>
        <v>0.8</v>
      </c>
      <c r="AC23" s="9">
        <f t="shared" si="152"/>
        <v>0.8</v>
      </c>
      <c r="AD23" s="9">
        <f t="shared" si="152"/>
        <v>0.79</v>
      </c>
      <c r="AF23" s="9">
        <f t="shared" ref="AF23:AH23" si="153">AF5/AF3</f>
        <v>0.72220356063150826</v>
      </c>
      <c r="AG23" s="9">
        <f t="shared" si="153"/>
        <v>0.67357931591704823</v>
      </c>
      <c r="AH23" s="9">
        <f t="shared" si="153"/>
        <v>0.67740459412464527</v>
      </c>
      <c r="AI23" s="9">
        <f t="shared" ref="AI23:AR23" si="154">AI5/AI3</f>
        <v>0.77986768711895182</v>
      </c>
      <c r="AJ23" s="9">
        <f t="shared" si="154"/>
        <v>0.78566556482501704</v>
      </c>
      <c r="AK23" s="9">
        <f t="shared" si="154"/>
        <v>0.80630084041166683</v>
      </c>
      <c r="AL23" s="9">
        <f t="shared" si="154"/>
        <v>0.80247085921686323</v>
      </c>
      <c r="AM23" s="9">
        <f t="shared" si="154"/>
        <v>0.79723637680842951</v>
      </c>
      <c r="AN23" s="9">
        <f t="shared" si="154"/>
        <v>0.8</v>
      </c>
      <c r="AO23" s="9">
        <f t="shared" si="154"/>
        <v>0.8</v>
      </c>
      <c r="AP23" s="9">
        <f t="shared" si="154"/>
        <v>0.8</v>
      </c>
      <c r="AQ23" s="9">
        <f t="shared" si="154"/>
        <v>0.8</v>
      </c>
      <c r="AR23" s="9">
        <f t="shared" si="154"/>
        <v>0.79999999999999993</v>
      </c>
      <c r="AS23" s="9">
        <f t="shared" ref="AS23:AW23" si="155">AS5/AS3</f>
        <v>0.8</v>
      </c>
      <c r="AT23" s="9">
        <f t="shared" si="155"/>
        <v>0.8</v>
      </c>
      <c r="AU23" s="9">
        <f t="shared" si="155"/>
        <v>0.8</v>
      </c>
      <c r="AV23" s="9">
        <f t="shared" si="155"/>
        <v>0.8</v>
      </c>
      <c r="AW23" s="9">
        <f t="shared" si="155"/>
        <v>0.8</v>
      </c>
    </row>
    <row r="24" spans="2:166" x14ac:dyDescent="0.3">
      <c r="B24" t="s">
        <v>46</v>
      </c>
      <c r="D24" s="15">
        <f>D10/D3</f>
        <v>-0.87319050376375251</v>
      </c>
      <c r="E24" s="9">
        <f t="shared" ref="E24:G24" si="156">E10/E3</f>
        <v>-0.75748031496063017</v>
      </c>
      <c r="F24" s="9">
        <f t="shared" si="156"/>
        <v>-0.6425457715780295</v>
      </c>
      <c r="G24" s="15">
        <f t="shared" si="156"/>
        <v>-0.30658525948539034</v>
      </c>
      <c r="H24" s="15">
        <f t="shared" ref="H24:J24" si="157">H10/H3</f>
        <v>-0.39341008336641514</v>
      </c>
      <c r="I24" s="9">
        <f t="shared" si="157"/>
        <v>-2.9291637871458192</v>
      </c>
      <c r="J24" s="9">
        <f t="shared" si="157"/>
        <v>-0.48587395218876123</v>
      </c>
      <c r="K24" s="9">
        <f t="shared" ref="K24:N24" si="158">K10/K3</f>
        <v>-0.33440797186400928</v>
      </c>
      <c r="L24" s="9">
        <f t="shared" si="158"/>
        <v>-0.38924387646432357</v>
      </c>
      <c r="M24" s="9">
        <f t="shared" si="158"/>
        <v>-0.23437898495281809</v>
      </c>
      <c r="N24" s="9">
        <f t="shared" si="158"/>
        <v>-0.13629013629013642</v>
      </c>
      <c r="O24" s="9">
        <f t="shared" ref="O24:Z24" si="159">O10/O3</f>
        <v>-8.8261648745519672E-2</v>
      </c>
      <c r="P24" s="9">
        <f t="shared" si="159"/>
        <v>-8.837209302325584E-2</v>
      </c>
      <c r="Q24" s="9">
        <f t="shared" si="159"/>
        <v>-0.13015275162167828</v>
      </c>
      <c r="R24" s="9">
        <f t="shared" si="159"/>
        <v>-3.4998033818324836E-2</v>
      </c>
      <c r="S24" s="9">
        <f t="shared" si="159"/>
        <v>7.9969535415080825E-3</v>
      </c>
      <c r="T24" s="9">
        <f t="shared" si="159"/>
        <v>1.8938683667729276E-2</v>
      </c>
      <c r="U24" s="9">
        <f t="shared" si="159"/>
        <v>7.1658903618774722E-2</v>
      </c>
      <c r="V24" s="9">
        <f t="shared" si="159"/>
        <v>0.10815253122945423</v>
      </c>
      <c r="W24" s="9">
        <f t="shared" si="159"/>
        <v>0.12738451836670348</v>
      </c>
      <c r="X24" s="9">
        <f t="shared" si="159"/>
        <v>0.15528683085090689</v>
      </c>
      <c r="Y24" s="9">
        <f t="shared" si="159"/>
        <v>0.15589248793935212</v>
      </c>
      <c r="Z24" s="9">
        <f t="shared" si="159"/>
        <v>1.3413897280966794E-2</v>
      </c>
      <c r="AA24" s="9">
        <f t="shared" ref="AA24:AD24" si="160">AA10/AA3</f>
        <v>0.18162901736447384</v>
      </c>
      <c r="AB24" s="9">
        <f t="shared" si="160"/>
        <v>0.19884698843407003</v>
      </c>
      <c r="AC24" s="9">
        <f t="shared" si="160"/>
        <v>0.20705618092248007</v>
      </c>
      <c r="AD24" s="9">
        <f t="shared" si="160"/>
        <v>8.4022774808273443E-2</v>
      </c>
      <c r="AF24" s="9">
        <f t="shared" ref="AF24:AR24" si="161">AF10/AF3</f>
        <v>-1.047195162915687</v>
      </c>
      <c r="AG24" s="9">
        <f t="shared" si="161"/>
        <v>-0.77619175868569867</v>
      </c>
      <c r="AH24" s="9">
        <f t="shared" si="161"/>
        <v>-1.0740367896037342</v>
      </c>
      <c r="AI24" s="9">
        <f t="shared" si="161"/>
        <v>-0.26670125826955493</v>
      </c>
      <c r="AJ24" s="9">
        <f t="shared" si="161"/>
        <v>-8.4579463770397087E-2</v>
      </c>
      <c r="AK24" s="9">
        <f t="shared" si="161"/>
        <v>5.3975102242595899E-2</v>
      </c>
      <c r="AL24" s="9">
        <f t="shared" si="161"/>
        <v>0.10829203601591407</v>
      </c>
      <c r="AM24" s="9">
        <f t="shared" si="161"/>
        <v>0.16525146209346867</v>
      </c>
      <c r="AN24" s="9">
        <f t="shared" si="161"/>
        <v>0.25866736735038492</v>
      </c>
      <c r="AO24" s="9">
        <f t="shared" si="161"/>
        <v>0.31895100687364003</v>
      </c>
      <c r="AP24" s="9">
        <f t="shared" si="161"/>
        <v>0.3672863898370326</v>
      </c>
      <c r="AQ24" s="9">
        <f t="shared" si="161"/>
        <v>0.40206111663879079</v>
      </c>
      <c r="AR24" s="9">
        <f t="shared" si="161"/>
        <v>0.42868626225576012</v>
      </c>
      <c r="AS24" s="9">
        <f t="shared" ref="AS24:AW24" si="162">AS10/AS3</f>
        <v>0.43896362500079578</v>
      </c>
      <c r="AT24" s="9">
        <f t="shared" si="162"/>
        <v>0.44624342361186276</v>
      </c>
      <c r="AU24" s="9">
        <f t="shared" si="162"/>
        <v>0.45091348309820756</v>
      </c>
      <c r="AV24" s="9">
        <f t="shared" si="162"/>
        <v>0.45431595500968736</v>
      </c>
      <c r="AW24" s="9">
        <f t="shared" si="162"/>
        <v>0.456540648182578</v>
      </c>
    </row>
    <row r="25" spans="2:166" x14ac:dyDescent="0.3">
      <c r="B25" t="s">
        <v>36</v>
      </c>
      <c r="D25" s="15">
        <f>D6/D3</f>
        <v>0.68094962362478284</v>
      </c>
      <c r="E25" s="9">
        <f t="shared" ref="E25:G25" si="163">E6/E3</f>
        <v>0.62834645669291345</v>
      </c>
      <c r="F25" s="9">
        <f t="shared" si="163"/>
        <v>0.49215344376634701</v>
      </c>
      <c r="G25" s="15">
        <f t="shared" si="163"/>
        <v>0.43044047099869165</v>
      </c>
      <c r="H25" s="15">
        <f t="shared" ref="H25:J25" si="164">H6/H3</f>
        <v>0.40690750297737194</v>
      </c>
      <c r="I25" s="9">
        <f t="shared" si="164"/>
        <v>1.1572218382861093</v>
      </c>
      <c r="J25" s="9">
        <f t="shared" si="164"/>
        <v>0.45824278174479971</v>
      </c>
      <c r="K25" s="9">
        <f t="shared" ref="K25:N25" si="165">K6/K3</f>
        <v>0.39888628370457208</v>
      </c>
      <c r="L25" s="9">
        <f t="shared" si="165"/>
        <v>0.4323748668796592</v>
      </c>
      <c r="M25" s="9">
        <f t="shared" si="165"/>
        <v>0.39122672787554197</v>
      </c>
      <c r="N25" s="9">
        <f t="shared" si="165"/>
        <v>0.37560637560637561</v>
      </c>
      <c r="O25" s="9">
        <f t="shared" ref="O25:Z25" si="166">O6/O3</f>
        <v>0.35954301075268819</v>
      </c>
      <c r="P25" s="9">
        <f t="shared" si="166"/>
        <v>0.35708245243128967</v>
      </c>
      <c r="Q25" s="9">
        <f t="shared" si="166"/>
        <v>0.38271604938271608</v>
      </c>
      <c r="R25" s="9">
        <f t="shared" si="166"/>
        <v>0.37396775462052689</v>
      </c>
      <c r="S25" s="9">
        <f t="shared" si="166"/>
        <v>0.35624523990860618</v>
      </c>
      <c r="T25" s="9">
        <f t="shared" si="166"/>
        <v>0.34539658728670541</v>
      </c>
      <c r="U25" s="9">
        <f t="shared" si="166"/>
        <v>0.31601576495879613</v>
      </c>
      <c r="V25" s="9">
        <f t="shared" si="166"/>
        <v>0.32445759368836297</v>
      </c>
      <c r="W25" s="9">
        <f t="shared" si="166"/>
        <v>0.30458773451048399</v>
      </c>
      <c r="X25" s="9">
        <f t="shared" si="166"/>
        <v>0.29022268102049847</v>
      </c>
      <c r="Y25" s="9">
        <f t="shared" si="166"/>
        <v>0.28876636802205374</v>
      </c>
      <c r="Z25" s="9">
        <f t="shared" si="166"/>
        <v>0.34839879154078551</v>
      </c>
      <c r="AA25" s="9">
        <f t="shared" ref="AA25:AD25" si="167">AA6/AA3</f>
        <v>0.28999999999999998</v>
      </c>
      <c r="AB25" s="9">
        <f t="shared" si="167"/>
        <v>0.28999999999999998</v>
      </c>
      <c r="AC25" s="9">
        <f t="shared" si="167"/>
        <v>0.28000000000000003</v>
      </c>
      <c r="AD25" s="9">
        <f t="shared" si="167"/>
        <v>0.32</v>
      </c>
      <c r="AF25" s="9">
        <f t="shared" ref="AF25:AH25" si="168">AF6/AF3</f>
        <v>0.77561303325495468</v>
      </c>
      <c r="AG25" s="9">
        <f t="shared" si="168"/>
        <v>0.60611365472663614</v>
      </c>
      <c r="AH25" s="9">
        <f t="shared" si="168"/>
        <v>0.62569781275739</v>
      </c>
      <c r="AI25" s="9">
        <f t="shared" ref="AI25:AR25" si="169">AI6/AI3</f>
        <v>0.39856012452977035</v>
      </c>
      <c r="AJ25" s="9">
        <f t="shared" si="169"/>
        <v>0.36859226612099266</v>
      </c>
      <c r="AK25" s="9">
        <f t="shared" si="169"/>
        <v>0.33486135454586308</v>
      </c>
      <c r="AL25" s="9">
        <f t="shared" si="169"/>
        <v>0.30983457806937947</v>
      </c>
      <c r="AM25" s="9">
        <f t="shared" si="169"/>
        <v>0.29577470722806604</v>
      </c>
      <c r="AN25" s="9">
        <f t="shared" si="169"/>
        <v>0.27</v>
      </c>
      <c r="AO25" s="9">
        <f t="shared" si="169"/>
        <v>0.26</v>
      </c>
      <c r="AP25" s="9">
        <f t="shared" si="169"/>
        <v>0.25</v>
      </c>
      <c r="AQ25" s="9">
        <f t="shared" si="169"/>
        <v>0.24000000000000002</v>
      </c>
      <c r="AR25" s="9">
        <f t="shared" si="169"/>
        <v>0.23</v>
      </c>
      <c r="AS25" s="9">
        <f t="shared" ref="AS25:AW25" si="170">AS6/AS3</f>
        <v>0.23</v>
      </c>
      <c r="AT25" s="9">
        <f t="shared" si="170"/>
        <v>0.23</v>
      </c>
      <c r="AU25" s="9">
        <f t="shared" si="170"/>
        <v>0.23</v>
      </c>
      <c r="AV25" s="9">
        <f t="shared" si="170"/>
        <v>0.23</v>
      </c>
      <c r="AW25" s="9">
        <f t="shared" si="170"/>
        <v>0.23</v>
      </c>
      <c r="AY25" t="s">
        <v>37</v>
      </c>
      <c r="AZ25" s="9">
        <v>-0.01</v>
      </c>
    </row>
    <row r="26" spans="2:166" x14ac:dyDescent="0.3">
      <c r="B26" t="s">
        <v>48</v>
      </c>
      <c r="D26" s="15"/>
      <c r="E26" s="9"/>
      <c r="F26" s="9"/>
      <c r="G26" s="15">
        <f t="shared" ref="G26:J26" si="171">G7/C7-1</f>
        <v>-0.13421052631578956</v>
      </c>
      <c r="H26" s="15">
        <f t="shared" si="171"/>
        <v>0.11568123393316165</v>
      </c>
      <c r="I26" s="9">
        <f t="shared" si="171"/>
        <v>3.1357048748353087</v>
      </c>
      <c r="J26" s="9">
        <f t="shared" si="171"/>
        <v>0.24142480211081785</v>
      </c>
      <c r="K26" s="9">
        <f t="shared" ref="K26:Z27" si="172">K7/G7-1</f>
        <v>0.49696048632218859</v>
      </c>
      <c r="L26" s="9">
        <f t="shared" si="172"/>
        <v>0.27304147465437789</v>
      </c>
      <c r="M26" s="9">
        <f t="shared" si="172"/>
        <v>-0.69958585536795148</v>
      </c>
      <c r="N26" s="9">
        <f t="shared" si="172"/>
        <v>-0.10520722635494151</v>
      </c>
      <c r="O26" s="9">
        <f t="shared" si="172"/>
        <v>-0.10050761421319798</v>
      </c>
      <c r="P26" s="9">
        <f t="shared" si="172"/>
        <v>-0.20180995475113117</v>
      </c>
      <c r="Q26" s="9">
        <f t="shared" si="172"/>
        <v>6.9989395546129485E-2</v>
      </c>
      <c r="R26" s="9">
        <f t="shared" si="172"/>
        <v>-2.6128266033254244E-2</v>
      </c>
      <c r="S26" s="9">
        <f t="shared" si="172"/>
        <v>1.6930022573363512E-2</v>
      </c>
      <c r="T26" s="9">
        <f t="shared" si="172"/>
        <v>0.1281179138321995</v>
      </c>
      <c r="U26" s="9">
        <f t="shared" si="172"/>
        <v>4.7571853320118818E-2</v>
      </c>
      <c r="V26" s="9">
        <f t="shared" si="172"/>
        <v>0.33292682926829276</v>
      </c>
      <c r="W26" s="9">
        <f t="shared" si="172"/>
        <v>0.22086570477247514</v>
      </c>
      <c r="X26" s="9">
        <f t="shared" si="172"/>
        <v>9.3467336683417113E-2</v>
      </c>
      <c r="Y26" s="9">
        <f t="shared" si="172"/>
        <v>0.11258278145695355</v>
      </c>
      <c r="Z26" s="9">
        <f t="shared" si="172"/>
        <v>0.56907593778591048</v>
      </c>
      <c r="AA26" s="9">
        <f t="shared" ref="AA26:AA27" si="173">AA7/W7-1</f>
        <v>0.25</v>
      </c>
      <c r="AB26" s="9">
        <f t="shared" ref="AB26:AB27" si="174">AB7/X7-1</f>
        <v>0.25</v>
      </c>
      <c r="AC26" s="9">
        <f t="shared" ref="AC26:AC27" si="175">AC7/Y7-1</f>
        <v>0.25</v>
      </c>
      <c r="AD26" s="9">
        <f t="shared" ref="AD26:AD27" si="176">AD7/Z7-1</f>
        <v>0.19999999999999996</v>
      </c>
      <c r="AF26" s="9"/>
      <c r="AG26" s="9">
        <f t="shared" ref="AG26:AR26" si="177">AG7/AF7-1</f>
        <v>7.0402802101576345E-2</v>
      </c>
      <c r="AH26" s="9">
        <f t="shared" si="177"/>
        <v>0.83442408376963351</v>
      </c>
      <c r="AI26" s="9">
        <f t="shared" si="177"/>
        <v>-0.30877631109525516</v>
      </c>
      <c r="AJ26" s="9">
        <f t="shared" si="177"/>
        <v>-7.1741935483870867E-2</v>
      </c>
      <c r="AK26" s="9">
        <f t="shared" si="177"/>
        <v>0.12482624409229914</v>
      </c>
      <c r="AL26" s="9">
        <f t="shared" si="177"/>
        <v>0.25531389026198692</v>
      </c>
      <c r="AM26" s="9">
        <f t="shared" si="177"/>
        <v>0.23311675526678477</v>
      </c>
      <c r="AN26" s="9">
        <f t="shared" si="177"/>
        <v>7.0000000000000062E-2</v>
      </c>
      <c r="AO26" s="9">
        <f t="shared" si="177"/>
        <v>5.0000000000000044E-2</v>
      </c>
      <c r="AP26" s="9">
        <f t="shared" si="177"/>
        <v>3.0000000000000027E-2</v>
      </c>
      <c r="AQ26" s="9">
        <f t="shared" si="177"/>
        <v>2.0000000000000018E-2</v>
      </c>
      <c r="AR26" s="9">
        <f t="shared" si="177"/>
        <v>2.0000000000000018E-2</v>
      </c>
      <c r="AS26" s="9">
        <f t="shared" ref="AS26:AW27" si="178">AS7/AR7-1</f>
        <v>2.0000000000000018E-2</v>
      </c>
      <c r="AT26" s="9">
        <f t="shared" si="178"/>
        <v>2.0000000000000018E-2</v>
      </c>
      <c r="AU26" s="9">
        <f t="shared" si="178"/>
        <v>2.0000000000000018E-2</v>
      </c>
      <c r="AV26" s="9">
        <f t="shared" si="178"/>
        <v>2.0000000000000018E-2</v>
      </c>
      <c r="AW26" s="9">
        <f t="shared" si="178"/>
        <v>2.0000000000000018E-2</v>
      </c>
      <c r="AY26" t="s">
        <v>38</v>
      </c>
      <c r="AZ26" s="9">
        <v>0.06</v>
      </c>
    </row>
    <row r="27" spans="2:166" x14ac:dyDescent="0.3">
      <c r="B27" t="s">
        <v>49</v>
      </c>
      <c r="D27" s="15"/>
      <c r="E27" s="9"/>
      <c r="F27" s="9"/>
      <c r="G27" s="15">
        <f t="shared" ref="G27:J27" si="179">G8/C8-1</f>
        <v>0.12380952380952381</v>
      </c>
      <c r="H27" s="15">
        <f t="shared" si="179"/>
        <v>0.30125523012552313</v>
      </c>
      <c r="I27" s="9">
        <f t="shared" si="179"/>
        <v>3.574898785425102</v>
      </c>
      <c r="J27" s="9">
        <f t="shared" si="179"/>
        <v>0.48306595365418903</v>
      </c>
      <c r="K27" s="9">
        <f t="shared" si="172"/>
        <v>1.0706214689265536</v>
      </c>
      <c r="L27" s="9">
        <f t="shared" si="172"/>
        <v>0.69346195069667749</v>
      </c>
      <c r="M27" s="9">
        <f t="shared" si="172"/>
        <v>-0.55899705014749257</v>
      </c>
      <c r="N27" s="9">
        <f t="shared" si="172"/>
        <v>-5.3485576923076983E-2</v>
      </c>
      <c r="O27" s="9">
        <f t="shared" si="172"/>
        <v>-2.9331514324692942E-2</v>
      </c>
      <c r="P27" s="9">
        <f t="shared" si="172"/>
        <v>-1.5822784810126556E-2</v>
      </c>
      <c r="Q27" s="9">
        <f t="shared" si="172"/>
        <v>-5.351170568561936E-3</v>
      </c>
      <c r="R27" s="9">
        <f t="shared" si="172"/>
        <v>-4.8253968253968216E-2</v>
      </c>
      <c r="S27" s="9">
        <f t="shared" si="172"/>
        <v>-4.2867182009838523E-2</v>
      </c>
      <c r="T27" s="9">
        <f t="shared" si="172"/>
        <v>-0.14726688102893892</v>
      </c>
      <c r="U27" s="9">
        <f t="shared" si="172"/>
        <v>-0.13786146603900473</v>
      </c>
      <c r="V27" s="9">
        <f t="shared" si="172"/>
        <v>-0.15076717811874585</v>
      </c>
      <c r="W27" s="9">
        <f t="shared" si="172"/>
        <v>-1.6152716593245131E-2</v>
      </c>
      <c r="X27" s="9">
        <f t="shared" si="172"/>
        <v>4.5248868778280604E-2</v>
      </c>
      <c r="Y27" s="9">
        <f t="shared" si="172"/>
        <v>8.19032761310452E-2</v>
      </c>
      <c r="Z27" s="9">
        <f t="shared" si="172"/>
        <v>0.43047918303220745</v>
      </c>
      <c r="AA27" s="9">
        <f t="shared" si="173"/>
        <v>0.14999999999999991</v>
      </c>
      <c r="AB27" s="9">
        <f t="shared" si="174"/>
        <v>0.14999999999999991</v>
      </c>
      <c r="AC27" s="9">
        <f t="shared" si="175"/>
        <v>0.14999999999999991</v>
      </c>
      <c r="AD27" s="9">
        <f t="shared" si="176"/>
        <v>0.14999999999999991</v>
      </c>
      <c r="AF27" s="9"/>
      <c r="AG27" s="9">
        <f t="shared" ref="AG27:AR27" si="180">AG8/AF8-1</f>
        <v>4.8007838014369586E-2</v>
      </c>
      <c r="AH27" s="9">
        <f t="shared" si="180"/>
        <v>1.0863197257712685</v>
      </c>
      <c r="AI27" s="9">
        <f t="shared" si="180"/>
        <v>-8.6482449589245669E-2</v>
      </c>
      <c r="AJ27" s="9">
        <f t="shared" si="180"/>
        <v>-2.4852844996730017E-2</v>
      </c>
      <c r="AK27" s="9">
        <f t="shared" si="180"/>
        <v>-0.12089201877934275</v>
      </c>
      <c r="AL27" s="9">
        <f t="shared" si="180"/>
        <v>0.13179477398436013</v>
      </c>
      <c r="AM27" s="9">
        <f t="shared" si="180"/>
        <v>0.14999999999999991</v>
      </c>
      <c r="AN27" s="9">
        <f t="shared" si="180"/>
        <v>3.0000000000000027E-2</v>
      </c>
      <c r="AO27" s="9">
        <f t="shared" si="180"/>
        <v>2.0000000000000018E-2</v>
      </c>
      <c r="AP27" s="9">
        <f t="shared" si="180"/>
        <v>2.0000000000000018E-2</v>
      </c>
      <c r="AQ27" s="9">
        <f t="shared" si="180"/>
        <v>2.0000000000000018E-2</v>
      </c>
      <c r="AR27" s="9">
        <f t="shared" si="180"/>
        <v>2.0000000000000018E-2</v>
      </c>
      <c r="AS27" s="9">
        <f t="shared" si="178"/>
        <v>2.0000000000000018E-2</v>
      </c>
      <c r="AT27" s="9">
        <f t="shared" si="178"/>
        <v>2.0000000000000018E-2</v>
      </c>
      <c r="AU27" s="9">
        <f t="shared" si="178"/>
        <v>2.0000000000000018E-2</v>
      </c>
      <c r="AV27" s="9">
        <f t="shared" si="178"/>
        <v>2.0000000000000018E-2</v>
      </c>
      <c r="AW27" s="9">
        <f t="shared" si="178"/>
        <v>2.0000000000000018E-2</v>
      </c>
      <c r="AY27" t="s">
        <v>39</v>
      </c>
      <c r="AZ27" s="5">
        <f>NPV(AZ26,AM18:FJ18)</f>
        <v>75815.036683497878</v>
      </c>
    </row>
    <row r="28" spans="2:166" x14ac:dyDescent="0.3">
      <c r="B28" t="s">
        <v>30</v>
      </c>
      <c r="D28" s="15">
        <f t="shared" ref="D28:J28" si="181">D16/D15</f>
        <v>-2.4005486968449924E-2</v>
      </c>
      <c r="E28" s="9">
        <f t="shared" si="181"/>
        <v>-1.4492753623188406E-2</v>
      </c>
      <c r="F28" s="9">
        <f t="shared" si="181"/>
        <v>-2.5096525096525105E-2</v>
      </c>
      <c r="G28" s="15">
        <f t="shared" si="181"/>
        <v>-5.019305019305019E-2</v>
      </c>
      <c r="H28" s="15">
        <f t="shared" si="181"/>
        <v>-8.2191780821917835E-3</v>
      </c>
      <c r="I28" s="9">
        <f t="shared" si="181"/>
        <v>9.8630772801113938E-3</v>
      </c>
      <c r="J28" s="9">
        <f t="shared" si="181"/>
        <v>4.8780487804878044E-2</v>
      </c>
      <c r="K28" s="9">
        <f t="shared" ref="K28:N28" si="182">K16/K15</f>
        <v>-2.574750830564785E-2</v>
      </c>
      <c r="L28" s="9">
        <f t="shared" si="182"/>
        <v>3.8383838383838409E-2</v>
      </c>
      <c r="M28" s="9">
        <f t="shared" si="182"/>
        <v>-1.3916500994035789E-2</v>
      </c>
      <c r="N28" s="9">
        <f t="shared" si="182"/>
        <v>-0.26785714285714274</v>
      </c>
      <c r="O28" s="9">
        <f t="shared" ref="O28:Z28" si="183">O16/O15</f>
        <v>-2.0120724346076462E-2</v>
      </c>
      <c r="P28" s="9">
        <f t="shared" si="183"/>
        <v>-1.4705882352941176E-2</v>
      </c>
      <c r="Q28" s="9">
        <f t="shared" si="183"/>
        <v>-8.9576547231270329E-3</v>
      </c>
      <c r="R28" s="9">
        <f t="shared" si="183"/>
        <v>0.1160949868073879</v>
      </c>
      <c r="S28" s="9">
        <f t="shared" si="183"/>
        <v>8.095238095238079E-2</v>
      </c>
      <c r="T28" s="9">
        <f t="shared" si="183"/>
        <v>7.3089700996677706E-2</v>
      </c>
      <c r="U28" s="9">
        <f t="shared" si="183"/>
        <v>8.1148564294631645E-2</v>
      </c>
      <c r="V28" s="9">
        <f t="shared" si="183"/>
        <v>8.7570621468926593E-2</v>
      </c>
      <c r="W28" s="9">
        <f t="shared" si="183"/>
        <v>4.2457091237579035E-2</v>
      </c>
      <c r="X28" s="9">
        <f t="shared" si="183"/>
        <v>3.6958066808813091E-2</v>
      </c>
      <c r="Y28" s="9">
        <f t="shared" si="183"/>
        <v>4.9649904519414395E-2</v>
      </c>
      <c r="Z28" s="9">
        <f t="shared" si="183"/>
        <v>4.4665012406947882E-2</v>
      </c>
      <c r="AA28" s="9">
        <f t="shared" ref="AA28:AD28" si="184">AA16/AA15</f>
        <v>0.04</v>
      </c>
      <c r="AB28" s="9">
        <f t="shared" si="184"/>
        <v>0.04</v>
      </c>
      <c r="AC28" s="9">
        <f t="shared" si="184"/>
        <v>0.04</v>
      </c>
      <c r="AD28" s="9">
        <f t="shared" si="184"/>
        <v>0.04</v>
      </c>
      <c r="AF28" s="9">
        <f t="shared" ref="AF28:AH28" si="185">AF16/AF15</f>
        <v>-1.5939744263443686E-2</v>
      </c>
      <c r="AG28" s="9">
        <f t="shared" si="185"/>
        <v>-2.1857923497267766E-2</v>
      </c>
      <c r="AH28" s="9">
        <f t="shared" si="185"/>
        <v>1.0687929425735855E-2</v>
      </c>
      <c r="AI28" s="9">
        <f t="shared" ref="AI28:AR28" si="186">AI16/AI15</f>
        <v>-6.4542317840470903E-2</v>
      </c>
      <c r="AJ28" s="9">
        <f t="shared" si="186"/>
        <v>-2.7970091387427315E-2</v>
      </c>
      <c r="AK28" s="9">
        <f t="shared" si="186"/>
        <v>8.2982308340353805E-2</v>
      </c>
      <c r="AL28" s="9">
        <f t="shared" si="186"/>
        <v>4.3549376405642999E-2</v>
      </c>
      <c r="AM28" s="9">
        <f t="shared" si="186"/>
        <v>0.04</v>
      </c>
      <c r="AN28" s="9">
        <f t="shared" si="186"/>
        <v>0.1</v>
      </c>
      <c r="AO28" s="9">
        <f t="shared" si="186"/>
        <v>0.1</v>
      </c>
      <c r="AP28" s="9">
        <f t="shared" si="186"/>
        <v>0.1</v>
      </c>
      <c r="AQ28" s="9">
        <f t="shared" si="186"/>
        <v>0.1</v>
      </c>
      <c r="AR28" s="9">
        <f t="shared" si="186"/>
        <v>0.15</v>
      </c>
      <c r="AS28" s="9">
        <f t="shared" ref="AS28:AW28" si="187">AS16/AS15</f>
        <v>0.15</v>
      </c>
      <c r="AT28" s="9">
        <f t="shared" si="187"/>
        <v>0.15</v>
      </c>
      <c r="AU28" s="9">
        <f t="shared" si="187"/>
        <v>0.15</v>
      </c>
      <c r="AV28" s="9">
        <f t="shared" si="187"/>
        <v>0.15</v>
      </c>
      <c r="AW28" s="9">
        <f t="shared" si="187"/>
        <v>0.15</v>
      </c>
      <c r="AY28" t="s">
        <v>40</v>
      </c>
      <c r="AZ28" s="5">
        <f>Main!D8</f>
        <v>5230</v>
      </c>
    </row>
    <row r="29" spans="2:166" x14ac:dyDescent="0.3">
      <c r="B29" t="s">
        <v>68</v>
      </c>
      <c r="D29" s="15"/>
      <c r="E29" s="9"/>
      <c r="F29" s="9"/>
      <c r="G29" s="15"/>
      <c r="H29" s="15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>
        <f>Y17/Y15</f>
        <v>3.6919159770846602E-2</v>
      </c>
      <c r="Z29" s="9">
        <f>Z17/Z15</f>
        <v>-2.6054590570719596E-2</v>
      </c>
      <c r="AA29" s="9">
        <f t="shared" ref="AA29:AD29" si="188">AA17/AA15</f>
        <v>0.01</v>
      </c>
      <c r="AB29" s="9">
        <f t="shared" si="188"/>
        <v>0.01</v>
      </c>
      <c r="AC29" s="9">
        <f t="shared" si="188"/>
        <v>0.01</v>
      </c>
      <c r="AD29" s="9">
        <f t="shared" si="188"/>
        <v>0.01</v>
      </c>
      <c r="AF29" s="9"/>
      <c r="AG29" s="9"/>
      <c r="AH29" s="9"/>
      <c r="AI29" s="9"/>
      <c r="AJ29" s="9"/>
      <c r="AK29" s="9"/>
      <c r="AL29" s="9">
        <f t="shared" ref="AL29:AW29" si="189">AL17/AL15</f>
        <v>7.564915150276014E-3</v>
      </c>
      <c r="AM29" s="9">
        <f t="shared" si="189"/>
        <v>0.01</v>
      </c>
      <c r="AN29" s="9">
        <f t="shared" si="189"/>
        <v>0.02</v>
      </c>
      <c r="AO29" s="9">
        <f t="shared" si="189"/>
        <v>0.02</v>
      </c>
      <c r="AP29" s="9">
        <f t="shared" si="189"/>
        <v>1.9999999999999997E-2</v>
      </c>
      <c r="AQ29" s="9">
        <f t="shared" si="189"/>
        <v>0.02</v>
      </c>
      <c r="AR29" s="9">
        <f t="shared" si="189"/>
        <v>0.02</v>
      </c>
      <c r="AS29" s="9">
        <f t="shared" si="189"/>
        <v>0.02</v>
      </c>
      <c r="AT29" s="9">
        <f t="shared" si="189"/>
        <v>0.02</v>
      </c>
      <c r="AU29" s="9">
        <f t="shared" si="189"/>
        <v>0.02</v>
      </c>
      <c r="AV29" s="9">
        <f t="shared" si="189"/>
        <v>0.02</v>
      </c>
      <c r="AW29" s="9">
        <f t="shared" si="189"/>
        <v>0.02</v>
      </c>
      <c r="AY29" t="s">
        <v>41</v>
      </c>
      <c r="AZ29" s="5">
        <f>AZ27+AZ28</f>
        <v>81045.036683497878</v>
      </c>
    </row>
    <row r="30" spans="2:166" x14ac:dyDescent="0.3">
      <c r="B30" t="s">
        <v>54</v>
      </c>
      <c r="C30" s="9"/>
      <c r="D30" s="9">
        <f t="shared" ref="D30:N30" si="190">D18/D3</f>
        <v>-0.86450492182976291</v>
      </c>
      <c r="E30" s="9">
        <f t="shared" si="190"/>
        <v>-0.73490813648293962</v>
      </c>
      <c r="F30" s="9">
        <f t="shared" si="190"/>
        <v>-0.69442022667829095</v>
      </c>
      <c r="G30" s="9">
        <f t="shared" ref="G30" si="191">G18/G3</f>
        <v>-0.23724378543392935</v>
      </c>
      <c r="H30" s="9">
        <f t="shared" si="190"/>
        <v>-0.43826915442635955</v>
      </c>
      <c r="I30" s="9">
        <f t="shared" si="190"/>
        <v>-2.9485141672425712</v>
      </c>
      <c r="J30" s="9">
        <f t="shared" si="190"/>
        <v>-0.46010555728034774</v>
      </c>
      <c r="K30" s="9">
        <f t="shared" si="190"/>
        <v>-0.36195779601406786</v>
      </c>
      <c r="L30" s="9">
        <f t="shared" si="190"/>
        <v>-0.3801916932907346</v>
      </c>
      <c r="M30" s="9">
        <f t="shared" si="190"/>
        <v>-0.2601377199693955</v>
      </c>
      <c r="N30" s="9">
        <f t="shared" si="190"/>
        <v>-0.36082236082236097</v>
      </c>
      <c r="O30" s="9">
        <f t="shared" ref="O30:Z30" si="192">O18/O3</f>
        <v>-0.22715053763440857</v>
      </c>
      <c r="P30" s="9">
        <f t="shared" si="192"/>
        <v>-0.37928118393234672</v>
      </c>
      <c r="Q30" s="9">
        <f t="shared" si="192"/>
        <v>-0.25925925925925936</v>
      </c>
      <c r="R30" s="9">
        <f t="shared" si="192"/>
        <v>6.5867086118757356E-2</v>
      </c>
      <c r="S30" s="9">
        <f t="shared" si="192"/>
        <v>3.6747905559786825E-2</v>
      </c>
      <c r="T30" s="9">
        <f t="shared" si="192"/>
        <v>5.2315769735608517E-2</v>
      </c>
      <c r="U30" s="9">
        <f t="shared" si="192"/>
        <v>0.13185238265854543</v>
      </c>
      <c r="V30" s="9">
        <f t="shared" si="192"/>
        <v>0.15927021696252461</v>
      </c>
      <c r="W30" s="9">
        <f t="shared" si="192"/>
        <v>0.16711335330285357</v>
      </c>
      <c r="X30" s="9">
        <f t="shared" si="192"/>
        <v>0.19982303495059719</v>
      </c>
      <c r="Y30" s="9">
        <f t="shared" si="192"/>
        <v>0.19779462439696752</v>
      </c>
      <c r="Z30" s="9">
        <f t="shared" si="192"/>
        <v>9.5589123867069511E-2</v>
      </c>
      <c r="AA30" s="9">
        <f t="shared" ref="AA30:AD30" si="193">AA18/AA3</f>
        <v>0.22826252787099394</v>
      </c>
      <c r="AB30" s="9">
        <f t="shared" si="193"/>
        <v>0.24486351570564821</v>
      </c>
      <c r="AC30" s="9">
        <f t="shared" si="193"/>
        <v>0.25734507491640501</v>
      </c>
      <c r="AD30" s="9">
        <f t="shared" si="193"/>
        <v>0.13778863583546375</v>
      </c>
      <c r="AF30" s="9">
        <f t="shared" ref="AF30:AS30" si="194">AF18/AF3</f>
        <v>-0.97413503527040646</v>
      </c>
      <c r="AG30" s="9">
        <f t="shared" si="194"/>
        <v>-0.78063560463237247</v>
      </c>
      <c r="AH30" s="9">
        <f t="shared" si="194"/>
        <v>-1.0673560904182304</v>
      </c>
      <c r="AI30" s="9">
        <f t="shared" si="194"/>
        <v>-0.34018679465559715</v>
      </c>
      <c r="AJ30" s="9">
        <f t="shared" si="194"/>
        <v>-0.19476362873183264</v>
      </c>
      <c r="AK30" s="9">
        <f t="shared" si="194"/>
        <v>9.7838299402274106E-2</v>
      </c>
      <c r="AL30" s="9">
        <f t="shared" si="194"/>
        <v>0.16196691561387597</v>
      </c>
      <c r="AM30" s="9">
        <f t="shared" si="194"/>
        <v>0.21462536496139406</v>
      </c>
      <c r="AN30" s="9">
        <f t="shared" si="194"/>
        <v>0.27485652511795006</v>
      </c>
      <c r="AO30" s="9">
        <f t="shared" si="194"/>
        <v>0.32344352236931739</v>
      </c>
      <c r="AP30" s="9">
        <f t="shared" si="194"/>
        <v>0.36287462932158171</v>
      </c>
      <c r="AQ30" s="9">
        <f t="shared" si="194"/>
        <v>0.39246801756140881</v>
      </c>
      <c r="AR30" s="9">
        <f t="shared" si="194"/>
        <v>0.39258737601203963</v>
      </c>
      <c r="AS30" s="9">
        <f t="shared" si="194"/>
        <v>0.40278930428768095</v>
      </c>
      <c r="AT30" s="9">
        <f t="shared" ref="AT30:AW30" si="195">AT18/AT3</f>
        <v>0.41132363406782158</v>
      </c>
      <c r="AU30" s="9">
        <f t="shared" si="195"/>
        <v>0.41867595638705174</v>
      </c>
      <c r="AV30" s="9">
        <f t="shared" si="195"/>
        <v>0.42573027144648851</v>
      </c>
      <c r="AW30" s="9">
        <f t="shared" si="195"/>
        <v>0.43272223136338123</v>
      </c>
      <c r="AY30" t="s">
        <v>42</v>
      </c>
      <c r="AZ30" s="4">
        <f>AZ29/AR19</f>
        <v>34.554889009762888</v>
      </c>
    </row>
    <row r="31" spans="2:166" x14ac:dyDescent="0.3">
      <c r="AY31" t="s">
        <v>43</v>
      </c>
      <c r="AZ31" s="4">
        <f>Main!D3</f>
        <v>83.6</v>
      </c>
    </row>
    <row r="32" spans="2:166" x14ac:dyDescent="0.3">
      <c r="AY32" s="1" t="s">
        <v>44</v>
      </c>
      <c r="AZ32" s="10">
        <f>AZ30/AZ31-1</f>
        <v>-0.58666400706025246</v>
      </c>
    </row>
    <row r="33" spans="2:52" s="1" customFormat="1" x14ac:dyDescent="0.3">
      <c r="B33" s="1" t="s">
        <v>73</v>
      </c>
      <c r="AJ33" s="8">
        <f t="shared" ref="AJ33:AK33" si="196">AJ18</f>
        <v>-371.19999999999987</v>
      </c>
      <c r="AK33" s="8">
        <f t="shared" si="196"/>
        <v>217.7000000000001</v>
      </c>
      <c r="AL33" s="8">
        <f>AL18</f>
        <v>464.10000000000019</v>
      </c>
      <c r="AM33" s="8">
        <f t="shared" ref="AM33:AW33" si="197">AM18</f>
        <v>835.43674499999997</v>
      </c>
      <c r="AN33" s="8">
        <f t="shared" si="197"/>
        <v>1390.8552371999997</v>
      </c>
      <c r="AO33" s="8">
        <f t="shared" si="197"/>
        <v>2078.6341469519998</v>
      </c>
      <c r="AP33" s="8">
        <f t="shared" si="197"/>
        <v>2891.7309941960007</v>
      </c>
      <c r="AQ33" s="8">
        <f t="shared" si="197"/>
        <v>3690.5200030849214</v>
      </c>
      <c r="AR33" s="8">
        <f t="shared" si="197"/>
        <v>4208.4723065388735</v>
      </c>
      <c r="AS33" s="8">
        <f t="shared" si="197"/>
        <v>4749.6188355635204</v>
      </c>
      <c r="AT33" s="8">
        <f t="shared" si="197"/>
        <v>5238.2744422738879</v>
      </c>
      <c r="AU33" s="8">
        <f t="shared" si="197"/>
        <v>5651.821930732448</v>
      </c>
      <c r="AV33" s="8">
        <f t="shared" si="197"/>
        <v>6034.4025741932337</v>
      </c>
      <c r="AW33" s="8">
        <f t="shared" si="197"/>
        <v>6378.8486158075857</v>
      </c>
      <c r="AY33" t="s">
        <v>45</v>
      </c>
      <c r="AZ33" s="6" t="s">
        <v>67</v>
      </c>
    </row>
    <row r="34" spans="2:52" x14ac:dyDescent="0.3">
      <c r="B34" t="s">
        <v>74</v>
      </c>
      <c r="AJ34" s="5">
        <v>22.5</v>
      </c>
      <c r="AK34" s="5">
        <v>33.4</v>
      </c>
      <c r="AL34" s="5">
        <v>31.6</v>
      </c>
      <c r="AM34" s="5">
        <f>AL34*1.05</f>
        <v>33.18</v>
      </c>
      <c r="AN34" s="5">
        <f t="shared" ref="AN34:AW34" si="198">AM34*1.05</f>
        <v>34.838999999999999</v>
      </c>
      <c r="AO34" s="5">
        <f t="shared" si="198"/>
        <v>36.580950000000001</v>
      </c>
      <c r="AP34" s="5">
        <f t="shared" si="198"/>
        <v>38.409997500000003</v>
      </c>
      <c r="AQ34" s="5">
        <f t="shared" si="198"/>
        <v>40.330497375000007</v>
      </c>
      <c r="AR34" s="5">
        <f t="shared" si="198"/>
        <v>42.347022243750011</v>
      </c>
      <c r="AS34" s="5">
        <f t="shared" si="198"/>
        <v>44.464373355937511</v>
      </c>
      <c r="AT34" s="5">
        <f t="shared" si="198"/>
        <v>46.687592023734389</v>
      </c>
      <c r="AU34" s="5">
        <f t="shared" si="198"/>
        <v>49.021971624921107</v>
      </c>
      <c r="AV34" s="5">
        <f t="shared" si="198"/>
        <v>51.473070206167165</v>
      </c>
      <c r="AW34" s="5">
        <f t="shared" si="198"/>
        <v>54.046723716475526</v>
      </c>
    </row>
    <row r="35" spans="2:52" x14ac:dyDescent="0.3">
      <c r="B35" t="s">
        <v>75</v>
      </c>
      <c r="AJ35" s="5">
        <v>564.79999999999995</v>
      </c>
      <c r="AK35" s="5">
        <v>475.9</v>
      </c>
      <c r="AL35" s="5">
        <v>691.6</v>
      </c>
      <c r="AM35" s="5">
        <f>AL35*1.1</f>
        <v>760.7600000000001</v>
      </c>
      <c r="AN35" s="5">
        <f t="shared" ref="AN35:AQ35" si="199">AM35*1.1</f>
        <v>836.83600000000013</v>
      </c>
      <c r="AO35" s="5">
        <f t="shared" si="199"/>
        <v>920.5196000000002</v>
      </c>
      <c r="AP35" s="5">
        <f t="shared" si="199"/>
        <v>1012.5715600000003</v>
      </c>
      <c r="AQ35" s="5">
        <f t="shared" si="199"/>
        <v>1113.8287160000004</v>
      </c>
      <c r="AR35" s="5">
        <f t="shared" ref="AR35:AW35" si="200">AQ35*1.05</f>
        <v>1169.5201518000006</v>
      </c>
      <c r="AS35" s="5">
        <f t="shared" si="200"/>
        <v>1227.9961593900007</v>
      </c>
      <c r="AT35" s="5">
        <f t="shared" si="200"/>
        <v>1289.3959673595007</v>
      </c>
      <c r="AU35" s="5">
        <f t="shared" si="200"/>
        <v>1353.8657657274757</v>
      </c>
      <c r="AV35" s="5">
        <f t="shared" si="200"/>
        <v>1421.5590540138496</v>
      </c>
      <c r="AW35" s="5">
        <f t="shared" si="200"/>
        <v>1492.6370067145422</v>
      </c>
    </row>
    <row r="36" spans="2:52" x14ac:dyDescent="0.3">
      <c r="B36" t="s">
        <v>76</v>
      </c>
      <c r="AJ36" s="5">
        <v>40.299999999999997</v>
      </c>
      <c r="AK36" s="5">
        <v>47</v>
      </c>
      <c r="AL36" s="5">
        <v>41.2</v>
      </c>
      <c r="AM36" s="5">
        <f>AL36*1.05</f>
        <v>43.260000000000005</v>
      </c>
      <c r="AN36" s="5">
        <f t="shared" ref="AN36:AW36" si="201">AM36*1.05</f>
        <v>45.423000000000009</v>
      </c>
      <c r="AO36" s="5">
        <f t="shared" si="201"/>
        <v>47.694150000000015</v>
      </c>
      <c r="AP36" s="5">
        <f t="shared" si="201"/>
        <v>50.078857500000019</v>
      </c>
      <c r="AQ36" s="5">
        <f t="shared" si="201"/>
        <v>52.582800375000019</v>
      </c>
      <c r="AR36" s="5">
        <f t="shared" si="201"/>
        <v>55.211940393750019</v>
      </c>
      <c r="AS36" s="5">
        <f t="shared" si="201"/>
        <v>57.972537413437522</v>
      </c>
      <c r="AT36" s="5">
        <f t="shared" si="201"/>
        <v>60.871164284109398</v>
      </c>
      <c r="AU36" s="5">
        <f t="shared" si="201"/>
        <v>63.914722498314873</v>
      </c>
      <c r="AV36" s="5">
        <f t="shared" si="201"/>
        <v>67.110458623230613</v>
      </c>
      <c r="AW36" s="5">
        <f t="shared" si="201"/>
        <v>70.465981554392144</v>
      </c>
    </row>
    <row r="37" spans="2:52" x14ac:dyDescent="0.3">
      <c r="B37" t="s">
        <v>77</v>
      </c>
      <c r="AJ37" s="5">
        <v>272.10000000000002</v>
      </c>
      <c r="AK37" s="5">
        <v>13.2</v>
      </c>
      <c r="AL37" s="5">
        <v>19.3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</row>
    <row r="38" spans="2:52" x14ac:dyDescent="0.3">
      <c r="B38" t="s">
        <v>78</v>
      </c>
      <c r="AJ38" s="5">
        <v>-15.5</v>
      </c>
      <c r="AK38" s="5">
        <v>-46.6</v>
      </c>
      <c r="AL38" s="5">
        <v>-52.5</v>
      </c>
      <c r="AM38" s="5">
        <f>AL38*1.05</f>
        <v>-55.125</v>
      </c>
      <c r="AN38" s="5">
        <f t="shared" ref="AN38:AW38" si="202">AM38*1.05</f>
        <v>-57.881250000000001</v>
      </c>
      <c r="AO38" s="5">
        <f t="shared" si="202"/>
        <v>-60.775312500000005</v>
      </c>
      <c r="AP38" s="5">
        <f t="shared" si="202"/>
        <v>-63.814078125000009</v>
      </c>
      <c r="AQ38" s="5">
        <f t="shared" si="202"/>
        <v>-67.004782031250016</v>
      </c>
      <c r="AR38" s="5">
        <f t="shared" si="202"/>
        <v>-70.355021132812524</v>
      </c>
      <c r="AS38" s="5">
        <f t="shared" si="202"/>
        <v>-73.872772189453158</v>
      </c>
      <c r="AT38" s="5">
        <f t="shared" si="202"/>
        <v>-77.566410798925816</v>
      </c>
      <c r="AU38" s="5">
        <f t="shared" si="202"/>
        <v>-81.444731338872103</v>
      </c>
      <c r="AV38" s="5">
        <f t="shared" si="202"/>
        <v>-85.516967905815719</v>
      </c>
      <c r="AW38" s="5">
        <f t="shared" si="202"/>
        <v>-89.792816301106512</v>
      </c>
    </row>
    <row r="39" spans="2:52" x14ac:dyDescent="0.3">
      <c r="B39" t="s">
        <v>79</v>
      </c>
      <c r="AJ39" s="5">
        <v>-28.2</v>
      </c>
      <c r="AK39" s="5">
        <v>-34.299999999999997</v>
      </c>
      <c r="AL39" s="5">
        <v>24.8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</row>
    <row r="40" spans="2:52" x14ac:dyDescent="0.3">
      <c r="B40" t="s">
        <v>80</v>
      </c>
      <c r="AJ40" s="5">
        <v>-72.8</v>
      </c>
      <c r="AK40" s="5">
        <v>-106.2</v>
      </c>
      <c r="AL40" s="5">
        <v>-211.2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</row>
    <row r="41" spans="2:52" x14ac:dyDescent="0.3">
      <c r="B41" t="s">
        <v>81</v>
      </c>
      <c r="AJ41" s="5">
        <v>-24.8</v>
      </c>
      <c r="AK41" s="5">
        <v>-6.2</v>
      </c>
      <c r="AL41" s="5">
        <v>7.2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</row>
    <row r="42" spans="2:52" x14ac:dyDescent="0.3">
      <c r="B42" t="s">
        <v>82</v>
      </c>
      <c r="AJ42" s="5">
        <v>6</v>
      </c>
      <c r="AK42" s="5">
        <v>3.2</v>
      </c>
      <c r="AL42" s="5">
        <v>4.7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</row>
    <row r="43" spans="2:52" x14ac:dyDescent="0.3">
      <c r="B43" t="s">
        <v>83</v>
      </c>
      <c r="AJ43" s="5">
        <v>-29.9</v>
      </c>
      <c r="AK43" s="5">
        <v>-31.8</v>
      </c>
      <c r="AL43" s="5">
        <v>-18.8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</row>
    <row r="44" spans="2:52" x14ac:dyDescent="0.3">
      <c r="B44" t="s">
        <v>84</v>
      </c>
      <c r="AJ44" s="5">
        <v>5.5</v>
      </c>
      <c r="AK44" s="5">
        <v>52.9</v>
      </c>
      <c r="AL44" s="5">
        <v>115.6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</row>
    <row r="45" spans="2:52" x14ac:dyDescent="0.3">
      <c r="B45" t="s">
        <v>85</v>
      </c>
      <c r="AJ45" s="5">
        <v>-61.2</v>
      </c>
      <c r="AK45" s="5">
        <v>79.5</v>
      </c>
      <c r="AL45" s="5">
        <v>22.4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</row>
    <row r="46" spans="2:52" x14ac:dyDescent="0.3">
      <c r="B46" t="s">
        <v>86</v>
      </c>
      <c r="AJ46" s="5">
        <v>-49.5</v>
      </c>
      <c r="AK46" s="5">
        <v>64.3</v>
      </c>
      <c r="AL46" s="5">
        <v>54.4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</row>
    <row r="47" spans="2:52" x14ac:dyDescent="0.3">
      <c r="B47" t="s">
        <v>76</v>
      </c>
      <c r="AJ47" s="5">
        <v>-34.6</v>
      </c>
      <c r="AK47" s="5">
        <v>-49.6</v>
      </c>
      <c r="AL47" s="5">
        <v>-49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</row>
    <row r="48" spans="2:52" x14ac:dyDescent="0.3">
      <c r="B48" t="s">
        <v>87</v>
      </c>
      <c r="AJ48" s="5">
        <v>-0.1</v>
      </c>
      <c r="AK48" s="5">
        <v>0.1</v>
      </c>
      <c r="AL48" s="5">
        <v>4.5999999999999996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</row>
    <row r="49" spans="2:141" s="1" customFormat="1" x14ac:dyDescent="0.3">
      <c r="B49" s="1" t="s">
        <v>88</v>
      </c>
      <c r="AJ49" s="8">
        <f>AJ33+SUM(AJ34:AJ48)</f>
        <v>223.40000000000003</v>
      </c>
      <c r="AK49" s="8">
        <f>AK33+SUM(AK34:AK48)</f>
        <v>712.5</v>
      </c>
      <c r="AL49" s="8">
        <f>AL33+SUM(AL34:AL48)</f>
        <v>1150.0000000000002</v>
      </c>
      <c r="AM49" s="8">
        <f t="shared" ref="AM49:AW49" si="203">AM33+SUM(AM34:AM48)</f>
        <v>1617.511745</v>
      </c>
      <c r="AN49" s="8">
        <f t="shared" si="203"/>
        <v>2250.0719872</v>
      </c>
      <c r="AO49" s="8">
        <f t="shared" si="203"/>
        <v>3022.6535344519998</v>
      </c>
      <c r="AP49" s="8">
        <f t="shared" si="203"/>
        <v>3928.9773310710007</v>
      </c>
      <c r="AQ49" s="8">
        <f t="shared" si="203"/>
        <v>4830.257234803672</v>
      </c>
      <c r="AR49" s="8">
        <f t="shared" si="203"/>
        <v>5405.1963998435613</v>
      </c>
      <c r="AS49" s="8">
        <f t="shared" si="203"/>
        <v>6006.1791335334428</v>
      </c>
      <c r="AT49" s="8">
        <f t="shared" si="203"/>
        <v>6557.6627551423062</v>
      </c>
      <c r="AU49" s="8">
        <f t="shared" si="203"/>
        <v>7037.1796592442879</v>
      </c>
      <c r="AV49" s="8">
        <f t="shared" si="203"/>
        <v>7489.0281891306659</v>
      </c>
      <c r="AW49" s="8">
        <f t="shared" si="203"/>
        <v>7906.2055114918894</v>
      </c>
    </row>
    <row r="50" spans="2:141" x14ac:dyDescent="0.3">
      <c r="B50" t="s">
        <v>89</v>
      </c>
      <c r="AJ50" s="5">
        <v>40</v>
      </c>
      <c r="AK50" s="5">
        <v>15.1</v>
      </c>
      <c r="AL50" s="5">
        <f>12.6</f>
        <v>12.6</v>
      </c>
      <c r="AM50" s="5">
        <f t="shared" ref="AM50:AW50" si="204">12.6</f>
        <v>12.6</v>
      </c>
      <c r="AN50" s="5">
        <f t="shared" si="204"/>
        <v>12.6</v>
      </c>
      <c r="AO50" s="5">
        <f t="shared" si="204"/>
        <v>12.6</v>
      </c>
      <c r="AP50" s="5">
        <f t="shared" si="204"/>
        <v>12.6</v>
      </c>
      <c r="AQ50" s="5">
        <f t="shared" si="204"/>
        <v>12.6</v>
      </c>
      <c r="AR50" s="5">
        <f t="shared" si="204"/>
        <v>12.6</v>
      </c>
      <c r="AS50" s="5">
        <f t="shared" si="204"/>
        <v>12.6</v>
      </c>
      <c r="AT50" s="5">
        <f t="shared" si="204"/>
        <v>12.6</v>
      </c>
      <c r="AU50" s="5">
        <f t="shared" si="204"/>
        <v>12.6</v>
      </c>
      <c r="AV50" s="5">
        <f t="shared" si="204"/>
        <v>12.6</v>
      </c>
      <c r="AW50" s="5">
        <f t="shared" si="204"/>
        <v>12.6</v>
      </c>
    </row>
    <row r="51" spans="2:141" s="1" customFormat="1" x14ac:dyDescent="0.3">
      <c r="B51" s="1" t="s">
        <v>90</v>
      </c>
      <c r="AJ51" s="8">
        <f>AJ49-AJ50</f>
        <v>183.40000000000003</v>
      </c>
      <c r="AK51" s="8">
        <f>AK49-AK50</f>
        <v>697.4</v>
      </c>
      <c r="AL51" s="8">
        <f>AL49-AL50</f>
        <v>1137.4000000000003</v>
      </c>
      <c r="AM51" s="8">
        <f t="shared" ref="AM51:AW51" si="205">AM49-AM50</f>
        <v>1604.9117450000001</v>
      </c>
      <c r="AN51" s="8">
        <f t="shared" si="205"/>
        <v>2237.4719872000001</v>
      </c>
      <c r="AO51" s="8">
        <f t="shared" si="205"/>
        <v>3010.0535344519999</v>
      </c>
      <c r="AP51" s="8">
        <f t="shared" si="205"/>
        <v>3916.3773310710008</v>
      </c>
      <c r="AQ51" s="8">
        <f t="shared" si="205"/>
        <v>4817.6572348036716</v>
      </c>
      <c r="AR51" s="8">
        <f t="shared" si="205"/>
        <v>5392.5963998435609</v>
      </c>
      <c r="AS51" s="8">
        <f t="shared" si="205"/>
        <v>5993.5791335334425</v>
      </c>
      <c r="AT51" s="8">
        <f t="shared" si="205"/>
        <v>6545.0627551423058</v>
      </c>
      <c r="AU51" s="8">
        <f t="shared" si="205"/>
        <v>7024.5796592442875</v>
      </c>
      <c r="AV51" s="8">
        <f t="shared" si="205"/>
        <v>7476.4281891306655</v>
      </c>
      <c r="AW51" s="8">
        <f t="shared" si="205"/>
        <v>7893.605511491889</v>
      </c>
      <c r="AX51" s="1">
        <f>AW51*(1+$AZ$25)</f>
        <v>7814.6694563769697</v>
      </c>
      <c r="AY51" s="1">
        <f t="shared" ref="AY51:DJ51" si="206">AX51*(1+$AZ$25)</f>
        <v>7736.5227618132003</v>
      </c>
      <c r="AZ51" s="1">
        <f t="shared" si="206"/>
        <v>7659.1575341950684</v>
      </c>
      <c r="BA51" s="1">
        <f t="shared" si="206"/>
        <v>7582.565958853118</v>
      </c>
      <c r="BB51" s="1">
        <f t="shared" si="206"/>
        <v>7506.7402992645866</v>
      </c>
      <c r="BC51" s="1">
        <f t="shared" si="206"/>
        <v>7431.6728962719408</v>
      </c>
      <c r="BD51" s="1">
        <f t="shared" si="206"/>
        <v>7357.3561673092217</v>
      </c>
      <c r="BE51" s="1">
        <f t="shared" si="206"/>
        <v>7283.7826056361291</v>
      </c>
      <c r="BF51" s="1">
        <f t="shared" si="206"/>
        <v>7210.9447795797678</v>
      </c>
      <c r="BG51" s="1">
        <f t="shared" si="206"/>
        <v>7138.8353317839701</v>
      </c>
      <c r="BH51" s="1">
        <f t="shared" si="206"/>
        <v>7067.4469784661305</v>
      </c>
      <c r="BI51" s="1">
        <f t="shared" si="206"/>
        <v>6996.7725086814689</v>
      </c>
      <c r="BJ51" s="1">
        <f t="shared" si="206"/>
        <v>6926.8047835946545</v>
      </c>
      <c r="BK51" s="1">
        <f t="shared" si="206"/>
        <v>6857.5367357587083</v>
      </c>
      <c r="BL51" s="1">
        <f t="shared" si="206"/>
        <v>6788.961368401121</v>
      </c>
      <c r="BM51" s="1">
        <f t="shared" si="206"/>
        <v>6721.0717547171098</v>
      </c>
      <c r="BN51" s="1">
        <f t="shared" si="206"/>
        <v>6653.8610371699388</v>
      </c>
      <c r="BO51" s="1">
        <f t="shared" si="206"/>
        <v>6587.3224267982396</v>
      </c>
      <c r="BP51" s="1">
        <f t="shared" si="206"/>
        <v>6521.449202530257</v>
      </c>
      <c r="BQ51" s="1">
        <f t="shared" si="206"/>
        <v>6456.2347105049548</v>
      </c>
      <c r="BR51" s="1">
        <f t="shared" si="206"/>
        <v>6391.6723633999054</v>
      </c>
      <c r="BS51" s="1">
        <f t="shared" si="206"/>
        <v>6327.7556397659064</v>
      </c>
      <c r="BT51" s="1">
        <f t="shared" si="206"/>
        <v>6264.4780833682471</v>
      </c>
      <c r="BU51" s="1">
        <f t="shared" si="206"/>
        <v>6201.8333025345646</v>
      </c>
      <c r="BV51" s="1">
        <f t="shared" si="206"/>
        <v>6139.8149695092188</v>
      </c>
      <c r="BW51" s="1">
        <f t="shared" si="206"/>
        <v>6078.4168198141269</v>
      </c>
      <c r="BX51" s="1">
        <f t="shared" si="206"/>
        <v>6017.6326516159852</v>
      </c>
      <c r="BY51" s="1">
        <f t="shared" si="206"/>
        <v>5957.4563250998253</v>
      </c>
      <c r="BZ51" s="1">
        <f t="shared" si="206"/>
        <v>5897.8817618488274</v>
      </c>
      <c r="CA51" s="1">
        <f t="shared" si="206"/>
        <v>5838.902944230339</v>
      </c>
      <c r="CB51" s="1">
        <f t="shared" si="206"/>
        <v>5780.5139147880354</v>
      </c>
      <c r="CC51" s="1">
        <f t="shared" si="206"/>
        <v>5722.7087756401552</v>
      </c>
      <c r="CD51" s="1">
        <f t="shared" si="206"/>
        <v>5665.4816878837537</v>
      </c>
      <c r="CE51" s="1">
        <f t="shared" si="206"/>
        <v>5608.826871004916</v>
      </c>
      <c r="CF51" s="1">
        <f t="shared" si="206"/>
        <v>5552.7386022948667</v>
      </c>
      <c r="CG51" s="1">
        <f t="shared" si="206"/>
        <v>5497.2112162719177</v>
      </c>
      <c r="CH51" s="1">
        <f t="shared" si="206"/>
        <v>5442.2391041091987</v>
      </c>
      <c r="CI51" s="1">
        <f t="shared" si="206"/>
        <v>5387.8167130681068</v>
      </c>
      <c r="CJ51" s="1">
        <f t="shared" si="206"/>
        <v>5333.9385459374253</v>
      </c>
      <c r="CK51" s="1">
        <f t="shared" si="206"/>
        <v>5280.5991604780511</v>
      </c>
      <c r="CL51" s="1">
        <f t="shared" si="206"/>
        <v>5227.7931688732706</v>
      </c>
      <c r="CM51" s="1">
        <f t="shared" si="206"/>
        <v>5175.5152371845379</v>
      </c>
      <c r="CN51" s="1">
        <f t="shared" si="206"/>
        <v>5123.7600848126922</v>
      </c>
      <c r="CO51" s="1">
        <f t="shared" si="206"/>
        <v>5072.5224839645653</v>
      </c>
      <c r="CP51" s="1">
        <f t="shared" si="206"/>
        <v>5021.7972591249199</v>
      </c>
      <c r="CQ51" s="1">
        <f t="shared" si="206"/>
        <v>4971.5792865336707</v>
      </c>
      <c r="CR51" s="1">
        <f t="shared" si="206"/>
        <v>4921.8634936683338</v>
      </c>
      <c r="CS51" s="1">
        <f t="shared" si="206"/>
        <v>4872.6448587316509</v>
      </c>
      <c r="CT51" s="1">
        <f t="shared" si="206"/>
        <v>4823.9184101443343</v>
      </c>
      <c r="CU51" s="1">
        <f t="shared" si="206"/>
        <v>4775.6792260428911</v>
      </c>
      <c r="CV51" s="1">
        <f t="shared" si="206"/>
        <v>4727.9224337824617</v>
      </c>
      <c r="CW51" s="1">
        <f t="shared" si="206"/>
        <v>4680.6432094446373</v>
      </c>
      <c r="CX51" s="1">
        <f t="shared" si="206"/>
        <v>4633.8367773501905</v>
      </c>
      <c r="CY51" s="1">
        <f t="shared" si="206"/>
        <v>4587.4984095766886</v>
      </c>
      <c r="CZ51" s="1">
        <f t="shared" si="206"/>
        <v>4541.6234254809215</v>
      </c>
      <c r="DA51" s="1">
        <f t="shared" si="206"/>
        <v>4496.2071912261126</v>
      </c>
      <c r="DB51" s="1">
        <f t="shared" si="206"/>
        <v>4451.2451193138513</v>
      </c>
      <c r="DC51" s="1">
        <f t="shared" si="206"/>
        <v>4406.7326681207123</v>
      </c>
      <c r="DD51" s="1">
        <f t="shared" si="206"/>
        <v>4362.665341439505</v>
      </c>
      <c r="DE51" s="1">
        <f t="shared" si="206"/>
        <v>4319.0386880251099</v>
      </c>
      <c r="DF51" s="1">
        <f t="shared" si="206"/>
        <v>4275.8483011448589</v>
      </c>
      <c r="DG51" s="1">
        <f t="shared" si="206"/>
        <v>4233.0898181334105</v>
      </c>
      <c r="DH51" s="1">
        <f t="shared" si="206"/>
        <v>4190.7589199520762</v>
      </c>
      <c r="DI51" s="1">
        <f t="shared" si="206"/>
        <v>4148.8513307525554</v>
      </c>
      <c r="DJ51" s="1">
        <f t="shared" si="206"/>
        <v>4107.3628174450296</v>
      </c>
      <c r="DK51" s="1">
        <f t="shared" ref="DK51:EK51" si="207">DJ51*(1+$AZ$25)</f>
        <v>4066.2891892705793</v>
      </c>
      <c r="DL51" s="1">
        <f t="shared" si="207"/>
        <v>4025.6262973778735</v>
      </c>
      <c r="DM51" s="1">
        <f t="shared" si="207"/>
        <v>3985.3700344040949</v>
      </c>
      <c r="DN51" s="1">
        <f t="shared" si="207"/>
        <v>3945.5163340600539</v>
      </c>
      <c r="DO51" s="1">
        <f t="shared" si="207"/>
        <v>3906.0611707194535</v>
      </c>
      <c r="DP51" s="1">
        <f t="shared" si="207"/>
        <v>3867.0005590122587</v>
      </c>
      <c r="DQ51" s="1">
        <f t="shared" si="207"/>
        <v>3828.3305534221363</v>
      </c>
      <c r="DR51" s="1">
        <f t="shared" si="207"/>
        <v>3790.0472478879151</v>
      </c>
      <c r="DS51" s="1">
        <f t="shared" si="207"/>
        <v>3752.1467754090359</v>
      </c>
      <c r="DT51" s="1">
        <f t="shared" si="207"/>
        <v>3714.6253076549456</v>
      </c>
      <c r="DU51" s="1">
        <f t="shared" si="207"/>
        <v>3677.4790545783962</v>
      </c>
      <c r="DV51" s="1">
        <f t="shared" si="207"/>
        <v>3640.7042640326122</v>
      </c>
      <c r="DW51" s="1">
        <f t="shared" si="207"/>
        <v>3604.2972213922858</v>
      </c>
      <c r="DX51" s="1">
        <f t="shared" si="207"/>
        <v>3568.2542491783629</v>
      </c>
      <c r="DY51" s="1">
        <f t="shared" si="207"/>
        <v>3532.5717066865791</v>
      </c>
      <c r="DZ51" s="1">
        <f t="shared" si="207"/>
        <v>3497.2459896197133</v>
      </c>
      <c r="EA51" s="1">
        <f t="shared" si="207"/>
        <v>3462.2735297235163</v>
      </c>
      <c r="EB51" s="1">
        <f t="shared" si="207"/>
        <v>3427.6507944262812</v>
      </c>
      <c r="EC51" s="1">
        <f t="shared" si="207"/>
        <v>3393.3742864820183</v>
      </c>
      <c r="ED51" s="1">
        <f t="shared" si="207"/>
        <v>3359.4405436171983</v>
      </c>
      <c r="EE51" s="1">
        <f t="shared" si="207"/>
        <v>3325.8461381810262</v>
      </c>
      <c r="EF51" s="1">
        <f t="shared" si="207"/>
        <v>3292.5876767992158</v>
      </c>
      <c r="EG51" s="1">
        <f t="shared" si="207"/>
        <v>3259.6618000312237</v>
      </c>
      <c r="EH51" s="1">
        <f t="shared" si="207"/>
        <v>3227.0651820309113</v>
      </c>
      <c r="EI51" s="1">
        <f t="shared" si="207"/>
        <v>3194.7945302106023</v>
      </c>
      <c r="EJ51" s="1">
        <f t="shared" si="207"/>
        <v>3162.8465849084964</v>
      </c>
      <c r="EK51" s="1">
        <f t="shared" si="207"/>
        <v>3131.2181190594115</v>
      </c>
    </row>
    <row r="53" spans="2:141" x14ac:dyDescent="0.3">
      <c r="AZ53" s="5">
        <f>NPV(AZ26,AM51:EK51)</f>
        <v>95819.856038730592</v>
      </c>
    </row>
    <row r="54" spans="2:141" x14ac:dyDescent="0.3">
      <c r="AZ54" s="5">
        <f>Main!D8</f>
        <v>5230</v>
      </c>
    </row>
    <row r="55" spans="2:141" x14ac:dyDescent="0.3">
      <c r="AZ55" s="5">
        <f>AZ53+AZ54</f>
        <v>101049.85603873059</v>
      </c>
    </row>
    <row r="56" spans="2:141" x14ac:dyDescent="0.3">
      <c r="AZ56" s="4">
        <f>AZ55/AW19</f>
        <v>43.084273914356011</v>
      </c>
    </row>
    <row r="57" spans="2:141" x14ac:dyDescent="0.3">
      <c r="AZ57" s="4">
        <f>Main!D3</f>
        <v>83.6</v>
      </c>
    </row>
    <row r="58" spans="2:141" x14ac:dyDescent="0.3">
      <c r="AZ58" s="10">
        <f>AZ56/AZ57-1</f>
        <v>-0.48463787183784668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Mniszek</cp:lastModifiedBy>
  <dcterms:created xsi:type="dcterms:W3CDTF">2020-11-19T11:19:44Z</dcterms:created>
  <dcterms:modified xsi:type="dcterms:W3CDTF">2025-04-04T09:04:32Z</dcterms:modified>
</cp:coreProperties>
</file>