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EAD68EEB-D4E1-4C61-9474-F21821399C7C}" xr6:coauthVersionLast="46" xr6:coauthVersionMax="46" xr10:uidLastSave="{00000000-0000-0000-0000-000000000000}"/>
  <bookViews>
    <workbookView xWindow="-108" yWindow="-108" windowWidth="23256" windowHeight="12576" activeTab="1" xr2:uid="{60E61D54-B623-4E5F-8512-5E7582342C13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2" l="1"/>
  <c r="Q3" i="2"/>
  <c r="Q5" i="2" s="1"/>
  <c r="Q19" i="2" s="1"/>
  <c r="O3" i="2"/>
  <c r="O18" i="2" s="1"/>
  <c r="P5" i="2"/>
  <c r="P8" i="2" s="1"/>
  <c r="P20" i="2" s="1"/>
  <c r="N7" i="2"/>
  <c r="N4" i="2"/>
  <c r="D7" i="1"/>
  <c r="T3" i="2"/>
  <c r="W13" i="2"/>
  <c r="W7" i="2"/>
  <c r="W6" i="2"/>
  <c r="O9" i="2"/>
  <c r="P9" i="2" s="1"/>
  <c r="Q9" i="2" s="1"/>
  <c r="R9" i="2" s="1"/>
  <c r="R6" i="2"/>
  <c r="R21" i="2" s="1"/>
  <c r="Q6" i="2"/>
  <c r="P6" i="2"/>
  <c r="P21" i="2" s="1"/>
  <c r="O6" i="2"/>
  <c r="O21" i="2" s="1"/>
  <c r="P3" i="2"/>
  <c r="Q21" i="2"/>
  <c r="P18" i="2"/>
  <c r="AI26" i="2"/>
  <c r="N21" i="2"/>
  <c r="V13" i="2"/>
  <c r="V9" i="2"/>
  <c r="V3" i="2"/>
  <c r="U13" i="2"/>
  <c r="X13" i="2" s="1"/>
  <c r="Y13" i="2" s="1"/>
  <c r="Z13" i="2" s="1"/>
  <c r="AA13" i="2" s="1"/>
  <c r="AB13" i="2" s="1"/>
  <c r="AC13" i="2" s="1"/>
  <c r="AD13" i="2" s="1"/>
  <c r="AE13" i="2" s="1"/>
  <c r="AF13" i="2" s="1"/>
  <c r="U12" i="2"/>
  <c r="U10" i="2"/>
  <c r="U9" i="2"/>
  <c r="U6" i="2"/>
  <c r="U3" i="2"/>
  <c r="T13" i="2"/>
  <c r="T12" i="2"/>
  <c r="T10" i="2"/>
  <c r="T9" i="2"/>
  <c r="T6" i="2"/>
  <c r="M21" i="2"/>
  <c r="L21" i="2"/>
  <c r="K21" i="2"/>
  <c r="J21" i="2"/>
  <c r="I21" i="2"/>
  <c r="H21" i="2"/>
  <c r="G21" i="2"/>
  <c r="M18" i="2"/>
  <c r="L18" i="2"/>
  <c r="K18" i="2"/>
  <c r="J18" i="2"/>
  <c r="I18" i="2"/>
  <c r="H18" i="2"/>
  <c r="G18" i="2"/>
  <c r="C7" i="2"/>
  <c r="C5" i="2"/>
  <c r="C19" i="2" s="1"/>
  <c r="D7" i="2"/>
  <c r="D5" i="2"/>
  <c r="D19" i="2" s="1"/>
  <c r="E7" i="2"/>
  <c r="E5" i="2"/>
  <c r="E19" i="2" s="1"/>
  <c r="F7" i="2"/>
  <c r="F4" i="2"/>
  <c r="F5" i="2" s="1"/>
  <c r="F19" i="2" s="1"/>
  <c r="J4" i="2"/>
  <c r="J5" i="2" s="1"/>
  <c r="J19" i="2" s="1"/>
  <c r="J7" i="2"/>
  <c r="G7" i="2"/>
  <c r="G5" i="2"/>
  <c r="K7" i="2"/>
  <c r="Q18" i="2" l="1"/>
  <c r="O5" i="2"/>
  <c r="Q8" i="2"/>
  <c r="Q20" i="2" s="1"/>
  <c r="P4" i="2"/>
  <c r="W9" i="2"/>
  <c r="X9" i="2" s="1"/>
  <c r="Y9" i="2" s="1"/>
  <c r="Z9" i="2" s="1"/>
  <c r="AA9" i="2" s="1"/>
  <c r="AB9" i="2" s="1"/>
  <c r="AC9" i="2" s="1"/>
  <c r="AD9" i="2" s="1"/>
  <c r="AE9" i="2" s="1"/>
  <c r="AF9" i="2" s="1"/>
  <c r="R3" i="2"/>
  <c r="R18" i="2" s="1"/>
  <c r="Q4" i="2"/>
  <c r="P19" i="2"/>
  <c r="V18" i="2"/>
  <c r="N18" i="2"/>
  <c r="U21" i="2"/>
  <c r="U18" i="2"/>
  <c r="T7" i="2"/>
  <c r="T4" i="2"/>
  <c r="T5" i="2" s="1"/>
  <c r="T19" i="2" s="1"/>
  <c r="G8" i="2"/>
  <c r="G11" i="2" s="1"/>
  <c r="G14" i="2" s="1"/>
  <c r="G16" i="2" s="1"/>
  <c r="N19" i="2"/>
  <c r="N8" i="2"/>
  <c r="N20" i="2" s="1"/>
  <c r="V4" i="2"/>
  <c r="V5" i="2" s="1"/>
  <c r="U4" i="2"/>
  <c r="U5" i="2" s="1"/>
  <c r="V6" i="2"/>
  <c r="V21" i="2" s="1"/>
  <c r="G19" i="2"/>
  <c r="G20" i="2"/>
  <c r="F8" i="2"/>
  <c r="C8" i="2"/>
  <c r="D8" i="2"/>
  <c r="E8" i="2"/>
  <c r="J8" i="2"/>
  <c r="K5" i="2"/>
  <c r="H7" i="2"/>
  <c r="H5" i="2"/>
  <c r="L7" i="2"/>
  <c r="L5" i="2"/>
  <c r="L19" i="2" s="1"/>
  <c r="I7" i="2"/>
  <c r="U7" i="2" s="1"/>
  <c r="I5" i="2"/>
  <c r="I19" i="2" s="1"/>
  <c r="M7" i="2"/>
  <c r="M5" i="2"/>
  <c r="M19" i="2" s="1"/>
  <c r="D8" i="1"/>
  <c r="AI23" i="2" s="1"/>
  <c r="D5" i="1"/>
  <c r="F3" i="1"/>
  <c r="O4" i="2" l="1"/>
  <c r="O8" i="2"/>
  <c r="O20" i="2" s="1"/>
  <c r="O19" i="2"/>
  <c r="W3" i="2"/>
  <c r="R5" i="2"/>
  <c r="R4" i="2" s="1"/>
  <c r="D9" i="1"/>
  <c r="V7" i="2"/>
  <c r="V8" i="2" s="1"/>
  <c r="G22" i="2"/>
  <c r="U8" i="2"/>
  <c r="U20" i="2" s="1"/>
  <c r="U19" i="2"/>
  <c r="E11" i="2"/>
  <c r="E20" i="2"/>
  <c r="D11" i="2"/>
  <c r="D20" i="2"/>
  <c r="F11" i="2"/>
  <c r="F20" i="2"/>
  <c r="C11" i="2"/>
  <c r="C20" i="2"/>
  <c r="T8" i="2"/>
  <c r="M8" i="2"/>
  <c r="H8" i="2"/>
  <c r="H19" i="2"/>
  <c r="K8" i="2"/>
  <c r="K19" i="2"/>
  <c r="J11" i="2"/>
  <c r="J20" i="2"/>
  <c r="V19" i="2"/>
  <c r="L8" i="2"/>
  <c r="I8" i="2"/>
  <c r="W4" i="2" l="1"/>
  <c r="W5" i="2" s="1"/>
  <c r="R8" i="2"/>
  <c r="R20" i="2" s="1"/>
  <c r="R19" i="2"/>
  <c r="X3" i="2"/>
  <c r="W18" i="2"/>
  <c r="U11" i="2"/>
  <c r="U14" i="2" s="1"/>
  <c r="U16" i="2" s="1"/>
  <c r="K11" i="2"/>
  <c r="K20" i="2"/>
  <c r="H11" i="2"/>
  <c r="H20" i="2"/>
  <c r="M11" i="2"/>
  <c r="M20" i="2"/>
  <c r="D14" i="2"/>
  <c r="D16" i="2" s="1"/>
  <c r="D22" i="2"/>
  <c r="I11" i="2"/>
  <c r="I20" i="2"/>
  <c r="J14" i="2"/>
  <c r="J16" i="2" s="1"/>
  <c r="J22" i="2"/>
  <c r="X6" i="2"/>
  <c r="T11" i="2"/>
  <c r="T20" i="2"/>
  <c r="E14" i="2"/>
  <c r="E16" i="2" s="1"/>
  <c r="E22" i="2"/>
  <c r="F14" i="2"/>
  <c r="F16" i="2" s="1"/>
  <c r="F22" i="2"/>
  <c r="L11" i="2"/>
  <c r="L20" i="2"/>
  <c r="W21" i="2"/>
  <c r="C14" i="2"/>
  <c r="C16" i="2" s="1"/>
  <c r="C22" i="2"/>
  <c r="V20" i="2"/>
  <c r="W19" i="2" l="1"/>
  <c r="W8" i="2"/>
  <c r="W20" i="2" s="1"/>
  <c r="Y3" i="2"/>
  <c r="X5" i="2"/>
  <c r="X8" i="2" s="1"/>
  <c r="X20" i="2" s="1"/>
  <c r="X18" i="2"/>
  <c r="U22" i="2"/>
  <c r="M22" i="2"/>
  <c r="M14" i="2"/>
  <c r="H14" i="2"/>
  <c r="H16" i="2" s="1"/>
  <c r="H22" i="2"/>
  <c r="I14" i="2"/>
  <c r="I16" i="2" s="1"/>
  <c r="I22" i="2"/>
  <c r="T14" i="2"/>
  <c r="T16" i="2" s="1"/>
  <c r="T22" i="2"/>
  <c r="L14" i="2"/>
  <c r="L16" i="2" s="1"/>
  <c r="L22" i="2"/>
  <c r="X21" i="2"/>
  <c r="K14" i="2"/>
  <c r="K16" i="2" s="1"/>
  <c r="K22" i="2"/>
  <c r="X4" i="2" l="1"/>
  <c r="X19" i="2"/>
  <c r="Y18" i="2"/>
  <c r="Y5" i="2"/>
  <c r="Y19" i="2" s="1"/>
  <c r="Z3" i="2"/>
  <c r="Y4" i="2"/>
  <c r="Z6" i="2"/>
  <c r="Y21" i="2"/>
  <c r="M16" i="2"/>
  <c r="AA3" i="2" l="1"/>
  <c r="Z18" i="2"/>
  <c r="Z5" i="2"/>
  <c r="Z19" i="2" s="1"/>
  <c r="Y8" i="2"/>
  <c r="Y20" i="2" s="1"/>
  <c r="AA6" i="2"/>
  <c r="AB6" i="2" s="1"/>
  <c r="AC6" i="2" s="1"/>
  <c r="AD6" i="2" s="1"/>
  <c r="AE6" i="2" s="1"/>
  <c r="AF6" i="2" s="1"/>
  <c r="Z21" i="2"/>
  <c r="N11" i="2"/>
  <c r="V10" i="2"/>
  <c r="V11" i="2" s="1"/>
  <c r="Z8" i="2" l="1"/>
  <c r="Z20" i="2" s="1"/>
  <c r="AB3" i="2"/>
  <c r="AA5" i="2"/>
  <c r="AA19" i="2" s="1"/>
  <c r="AA18" i="2"/>
  <c r="Z4" i="2"/>
  <c r="AA21" i="2"/>
  <c r="N14" i="2"/>
  <c r="AC3" i="2" l="1"/>
  <c r="AB18" i="2"/>
  <c r="AB5" i="2"/>
  <c r="AB19" i="2" s="1"/>
  <c r="AA8" i="2"/>
  <c r="AA20" i="2" s="1"/>
  <c r="AA4" i="2"/>
  <c r="N16" i="2"/>
  <c r="O10" i="2"/>
  <c r="V12" i="2"/>
  <c r="N22" i="2"/>
  <c r="AB21" i="2"/>
  <c r="AB8" i="2"/>
  <c r="AB20" i="2" s="1"/>
  <c r="AB4" i="2" l="1"/>
  <c r="AD3" i="2"/>
  <c r="AC5" i="2"/>
  <c r="AC19" i="2" s="1"/>
  <c r="AC18" i="2"/>
  <c r="O11" i="2"/>
  <c r="AC21" i="2"/>
  <c r="V22" i="2"/>
  <c r="V14" i="2"/>
  <c r="V16" i="2" s="1"/>
  <c r="AE3" i="2" l="1"/>
  <c r="AD18" i="2"/>
  <c r="AD5" i="2"/>
  <c r="AD19" i="2" s="1"/>
  <c r="AD4" i="2"/>
  <c r="AC8" i="2"/>
  <c r="AC20" i="2" s="1"/>
  <c r="AC4" i="2"/>
  <c r="O12" i="2"/>
  <c r="O14" i="2" s="1"/>
  <c r="P10" i="2" s="1"/>
  <c r="AD21" i="2"/>
  <c r="AD8" i="2"/>
  <c r="AD20" i="2" s="1"/>
  <c r="AF3" i="2" l="1"/>
  <c r="AE18" i="2"/>
  <c r="AE5" i="2"/>
  <c r="AE19" i="2" s="1"/>
  <c r="P11" i="2"/>
  <c r="P12" i="2" s="1"/>
  <c r="P22" i="2" s="1"/>
  <c r="O16" i="2"/>
  <c r="O22" i="2"/>
  <c r="AE21" i="2"/>
  <c r="P14" i="2" l="1"/>
  <c r="Q10" i="2" s="1"/>
  <c r="AF5" i="2"/>
  <c r="AF19" i="2" s="1"/>
  <c r="AF18" i="2"/>
  <c r="AE4" i="2"/>
  <c r="AE8" i="2"/>
  <c r="AE20" i="2" s="1"/>
  <c r="AF21" i="2"/>
  <c r="P16" i="2" l="1"/>
  <c r="AF8" i="2"/>
  <c r="AF20" i="2" s="1"/>
  <c r="AF4" i="2"/>
  <c r="Q11" i="2"/>
  <c r="Q12" i="2" l="1"/>
  <c r="Q22" i="2" l="1"/>
  <c r="Q14" i="2"/>
  <c r="R10" i="2" l="1"/>
  <c r="Q16" i="2"/>
  <c r="R11" i="2" l="1"/>
  <c r="W10" i="2"/>
  <c r="W11" i="2" s="1"/>
  <c r="R12" i="2" l="1"/>
  <c r="R22" i="2" l="1"/>
  <c r="W12" i="2"/>
  <c r="R14" i="2"/>
  <c r="R16" i="2" s="1"/>
  <c r="W22" i="2" l="1"/>
  <c r="W14" i="2"/>
  <c r="X10" i="2" l="1"/>
  <c r="X11" i="2" s="1"/>
  <c r="W16" i="2"/>
  <c r="X12" i="2" l="1"/>
  <c r="X22" i="2" s="1"/>
  <c r="X14" i="2" l="1"/>
  <c r="X16" i="2" s="1"/>
  <c r="Y10" i="2" l="1"/>
  <c r="Y11" i="2" s="1"/>
  <c r="Y12" i="2" s="1"/>
  <c r="Y22" i="2" s="1"/>
  <c r="Y14" i="2" l="1"/>
  <c r="Z10" i="2" s="1"/>
  <c r="Z11" i="2" s="1"/>
  <c r="Y16" i="2" l="1"/>
  <c r="Z12" i="2"/>
  <c r="Z22" i="2" s="1"/>
  <c r="Z14" i="2" l="1"/>
  <c r="AA10" i="2" l="1"/>
  <c r="AA11" i="2" s="1"/>
  <c r="Z16" i="2"/>
  <c r="AA12" i="2" l="1"/>
  <c r="AA22" i="2" s="1"/>
  <c r="AA14" i="2" l="1"/>
  <c r="AA16" i="2" l="1"/>
  <c r="AB10" i="2"/>
  <c r="AB11" i="2" s="1"/>
  <c r="AB12" i="2" l="1"/>
  <c r="AB22" i="2" s="1"/>
  <c r="AB14" i="2" l="1"/>
  <c r="AC10" i="2" l="1"/>
  <c r="AC11" i="2" s="1"/>
  <c r="AB16" i="2"/>
  <c r="AC12" i="2" l="1"/>
  <c r="AC22" i="2" s="1"/>
  <c r="AC14" i="2" l="1"/>
  <c r="AC16" i="2" s="1"/>
  <c r="AD10" i="2" l="1"/>
  <c r="AD11" i="2" s="1"/>
  <c r="AD12" i="2" s="1"/>
  <c r="AD22" i="2" s="1"/>
  <c r="AD14" i="2" l="1"/>
  <c r="AD16" i="2" s="1"/>
  <c r="AE10" i="2" l="1"/>
  <c r="AE11" i="2" s="1"/>
  <c r="AE12" i="2" s="1"/>
  <c r="AE22" i="2" s="1"/>
  <c r="AE14" i="2" l="1"/>
  <c r="AE16" i="2" s="1"/>
  <c r="AF10" i="2" l="1"/>
  <c r="AF11" i="2" s="1"/>
  <c r="AF12" i="2" s="1"/>
  <c r="AF22" i="2" l="1"/>
  <c r="AF14" i="2"/>
  <c r="AF16" i="2" s="1"/>
  <c r="AG14" i="2" l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AI22" i="2" s="1"/>
  <c r="AI24" i="2" s="1"/>
  <c r="AI25" i="2" s="1"/>
  <c r="AI27" i="2" s="1"/>
</calcChain>
</file>

<file path=xl/sharedStrings.xml><?xml version="1.0" encoding="utf-8"?>
<sst xmlns="http://schemas.openxmlformats.org/spreadsheetml/2006/main" count="60" uniqueCount="55">
  <si>
    <t>PVH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</si>
  <si>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</si>
  <si>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</si>
  <si>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</si>
  <si>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</si>
  <si>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</si>
  <si>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</si>
  <si>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</si>
  <si>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</si>
  <si>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</si>
  <si>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</si>
  <si>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Q320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</si>
  <si>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</si>
  <si>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</si>
  <si>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</si>
  <si>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</si>
  <si>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</si>
  <si>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</si>
  <si>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</si>
  <si>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</si>
  <si>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</si>
  <si>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</si>
  <si>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</si>
  <si>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Q420</t>
  </si>
  <si>
    <t>Cost of sales</t>
  </si>
  <si>
    <t>Gross profit</t>
  </si>
  <si>
    <t>SG&amp;A</t>
  </si>
  <si>
    <t>Other operating income</t>
  </si>
  <si>
    <t>Operating profit</t>
  </si>
  <si>
    <t>Interest expense</t>
  </si>
  <si>
    <t>Interest income</t>
  </si>
  <si>
    <t>Pretax profit</t>
  </si>
  <si>
    <t>Taxes</t>
  </si>
  <si>
    <t>Net profit</t>
  </si>
  <si>
    <t>MI</t>
  </si>
  <si>
    <t>EPS</t>
  </si>
  <si>
    <t>Revenue y/y</t>
  </si>
  <si>
    <t>Gross Margin</t>
  </si>
  <si>
    <t>Operating Margin</t>
  </si>
  <si>
    <t>SG&amp;A y/y</t>
  </si>
  <si>
    <t>Non-GAAP</t>
  </si>
  <si>
    <t>Maturity</t>
  </si>
  <si>
    <t>Discount rate</t>
  </si>
  <si>
    <t>NPV</t>
  </si>
  <si>
    <t>Value</t>
  </si>
  <si>
    <t>Net cash</t>
  </si>
  <si>
    <t>Per share</t>
  </si>
  <si>
    <t>Current price</t>
  </si>
  <si>
    <t>Variance</t>
  </si>
  <si>
    <t>Consensus</t>
  </si>
  <si>
    <t>Q121</t>
  </si>
  <si>
    <t>Q221</t>
  </si>
  <si>
    <t>Q321</t>
  </si>
  <si>
    <t>Q421</t>
  </si>
  <si>
    <t>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</si>
</sst>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/>
    </xf>
    <xf numFmtId="9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0" fontId="0" fillId="0" borderId="0" xfId="0" applyFont="1"/>
    <xf numFmtId="9" fontId="0" fillId="0" borderId="0" xfId="0" applyNumberFormat="1"/>
    <xf numFmtId="3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0</xdr:row>
      <xdr:rowOff>0</xdr:rowOff>
    </xdr:from>
    <xdr:to>
      <xdr:col>14</xdr:col>
      <xdr:colOff>22860</xdr:colOff>
      <xdr:row>33</xdr:row>
      <xdr:rowOff>99060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7CD4000-0A55-4116-9633-8398F4C9CDEF}"/>
            </a:ext>
          </a:extLst>
        </xdr:cNvPr>
        <xdr:cNvCxnSpPr/>
      </xdr:nvCxnSpPr>
      <xdr:spPr>
        <a:xfrm>
          <a:off x="10728960" y="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6970-8883-4C92-B690-699D51C3D735}">
  <dimension ref="B2:G9"/>
  <sheetViews>
    <sheetView workbookViewId="0">
      <selection activeCell="D7" sqref="D7"/>
    </sheetView>
  </sheetViews>
  <sheetFormatPr defaultRowHeight="14.4" x14ac:dyDescent="0.3"/>
  <cols>
    <col min="5" max="7" width="15.77734375" style="3" customWidth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1" t="s">
        <v>0</v>
      </c>
      <c r="C3" t="s">
        <v>1</v>
      </c>
      <c r="D3" s="13">
        <v>100.98</v>
      </c>
      <c r="E3" s="4">
        <v>44289</v>
      </c>
      <c r="F3" s="4">
        <f ca="1">TODAY()</f>
        <v>44289</v>
      </c>
      <c r="G3" s="4">
        <v>44342</v>
      </c>
    </row>
    <row r="4" spans="2:7" x14ac:dyDescent="0.3">
      <c r="C4" t="s">
        <v>2</v>
      </c>
      <c r="D4" s="5">
        <v>71.2</v>
      </c>
      <c r="E4" s="3" t="s">
        <v>23</v>
      </c>
    </row>
    <row r="5" spans="2:7" x14ac:dyDescent="0.3">
      <c r="C5" t="s">
        <v>3</v>
      </c>
      <c r="D5" s="5">
        <f>D3*D4</f>
        <v>7189.7760000000007</v>
      </c>
    </row>
    <row r="6" spans="2:7" x14ac:dyDescent="0.3">
      <c r="C6" t="s">
        <v>4</v>
      </c>
      <c r="D6" s="5">
        <v>1651.4</v>
      </c>
      <c r="E6" s="3" t="s">
        <v>23</v>
      </c>
    </row>
    <row r="7" spans="2:7" x14ac:dyDescent="0.3">
      <c r="C7" t="s">
        <v>5</v>
      </c>
      <c r="D7" s="5">
        <f>41.1+3513.7</f>
        <v>3554.7999999999997</v>
      </c>
      <c r="E7" s="3" t="s">
        <v>23</v>
      </c>
    </row>
    <row r="8" spans="2:7" x14ac:dyDescent="0.3">
      <c r="C8" t="s">
        <v>6</v>
      </c>
      <c r="D8" s="5">
        <f>D6-D7</f>
        <v>-1903.3999999999996</v>
      </c>
    </row>
    <row r="9" spans="2:7" x14ac:dyDescent="0.3">
      <c r="C9" t="s">
        <v>7</v>
      </c>
      <c r="D9" s="5">
        <f>D5-D8</f>
        <v>9093.1759999999995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065AD-1861-4FFE-A48F-7CA37FC59B51}">
  <dimension ref="B1:EU28"/>
  <sheetViews>
    <sheetView tabSelected="1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Y6" sqref="Y6"/>
    </sheetView>
  </sheetViews>
  <sheetFormatPr defaultRowHeight="14.4" x14ac:dyDescent="0.3"/>
  <cols>
    <col min="2" max="2" width="20.5546875" bestFit="1" customWidth="1"/>
    <col min="3" max="18" width="10.5546875" customWidth="1"/>
    <col min="34" max="34" width="11.88671875" bestFit="1" customWidth="1"/>
    <col min="35" max="35" width="17.33203125" bestFit="1" customWidth="1"/>
  </cols>
  <sheetData>
    <row r="1" spans="2:151" x14ac:dyDescent="0.3">
      <c r="C1" s="2">
        <v>43251</v>
      </c>
      <c r="D1" s="2">
        <v>43343</v>
      </c>
      <c r="E1" s="2">
        <v>43434</v>
      </c>
      <c r="F1" s="2">
        <v>43524</v>
      </c>
      <c r="G1" s="2">
        <v>43616</v>
      </c>
      <c r="H1" s="2">
        <v>43708</v>
      </c>
      <c r="I1" s="2">
        <v>43799</v>
      </c>
      <c r="J1" s="2">
        <v>43890</v>
      </c>
      <c r="K1" s="2">
        <v>43982</v>
      </c>
      <c r="L1" s="2">
        <v>44074</v>
      </c>
      <c r="M1" s="2">
        <v>44165</v>
      </c>
      <c r="N1" s="2">
        <v>44255</v>
      </c>
      <c r="O1" s="2">
        <v>44347</v>
      </c>
      <c r="P1" s="2">
        <v>44439</v>
      </c>
      <c r="Q1" s="2">
        <v>44530</v>
      </c>
      <c r="R1" s="2">
        <v>44620</v>
      </c>
      <c r="V1" t="s">
        <v>40</v>
      </c>
    </row>
    <row r="2" spans="2:151" x14ac:dyDescent="0.3"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6" t="s">
        <v>11</v>
      </c>
      <c r="N2" s="6" t="s">
        <v>23</v>
      </c>
      <c r="O2" s="6" t="s">
        <v>50</v>
      </c>
      <c r="P2" s="6" t="s">
        <v>51</v>
      </c>
      <c r="Q2" s="6" t="s">
        <v>52</v>
      </c>
      <c r="R2" s="6" t="s">
        <v>53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  <c r="Z2">
        <v>2024</v>
      </c>
      <c r="AA2">
        <v>2025</v>
      </c>
      <c r="AB2">
        <v>2026</v>
      </c>
      <c r="AC2">
        <v>2027</v>
      </c>
      <c r="AD2">
        <v>2028</v>
      </c>
      <c r="AE2">
        <v>2029</v>
      </c>
      <c r="AF2">
        <v>2030</v>
      </c>
    </row>
    <row r="3" spans="2:151" s="1" customFormat="1" x14ac:dyDescent="0.3">
      <c r="B3" s="1" t="s">
        <v>12</v>
      </c>
      <c r="C3" s="9">
        <v>2314.6</v>
      </c>
      <c r="D3" s="9">
        <v>2333.6999999999998</v>
      </c>
      <c r="E3" s="9">
        <v>2524.5</v>
      </c>
      <c r="F3" s="9">
        <v>2484</v>
      </c>
      <c r="G3" s="9">
        <v>2356.3000000000002</v>
      </c>
      <c r="H3" s="9">
        <v>2364.1999999999998</v>
      </c>
      <c r="I3" s="9">
        <v>2587.6999999999998</v>
      </c>
      <c r="J3" s="9">
        <v>2600.8000000000002</v>
      </c>
      <c r="K3" s="9">
        <v>1344</v>
      </c>
      <c r="L3" s="9">
        <v>1580.7</v>
      </c>
      <c r="M3" s="9">
        <v>2118.1</v>
      </c>
      <c r="N3" s="9">
        <v>2089.8000000000002</v>
      </c>
      <c r="O3" s="9">
        <f>K3*1.45</f>
        <v>1948.8</v>
      </c>
      <c r="P3" s="9">
        <f>L3*1.4</f>
        <v>2212.98</v>
      </c>
      <c r="Q3" s="9">
        <f>M3*1.05</f>
        <v>2224.0050000000001</v>
      </c>
      <c r="R3" s="9">
        <f>N3*1.15</f>
        <v>2403.27</v>
      </c>
      <c r="T3" s="9">
        <f>SUM(C3:F3)</f>
        <v>9656.7999999999993</v>
      </c>
      <c r="U3" s="9">
        <f>SUM(G3:J3)</f>
        <v>9909</v>
      </c>
      <c r="V3" s="9">
        <f>SUM(K3:N3)</f>
        <v>7132.5999999999995</v>
      </c>
      <c r="W3" s="9">
        <f>SUM(O3:R3)</f>
        <v>8789.0550000000003</v>
      </c>
      <c r="X3" s="9">
        <f>W3*1.05</f>
        <v>9228.5077500000007</v>
      </c>
      <c r="Y3" s="9">
        <f>X3*1.05</f>
        <v>9689.933137500002</v>
      </c>
      <c r="Z3" s="9">
        <f>Y3*1.04</f>
        <v>10077.530463000003</v>
      </c>
      <c r="AA3" s="9">
        <f>Z3*1.04</f>
        <v>10480.631681520003</v>
      </c>
      <c r="AB3" s="9">
        <f>AA3*1.03</f>
        <v>10795.050631965603</v>
      </c>
      <c r="AC3" s="9">
        <f>AB3*1.03</f>
        <v>11118.902150924572</v>
      </c>
      <c r="AD3" s="9">
        <f>AC3*1.03</f>
        <v>11452.469215452309</v>
      </c>
      <c r="AE3" s="9">
        <f t="shared" ref="AE3:AF3" si="0">AD3*1.02</f>
        <v>11681.518599761355</v>
      </c>
      <c r="AF3" s="9">
        <f t="shared" si="0"/>
        <v>11915.148971756582</v>
      </c>
    </row>
    <row r="4" spans="2:151" x14ac:dyDescent="0.3">
      <c r="B4" t="s">
        <v>24</v>
      </c>
      <c r="C4" s="5">
        <v>1023.6</v>
      </c>
      <c r="D4" s="5">
        <v>1036.7</v>
      </c>
      <c r="E4" s="5">
        <v>1159.7</v>
      </c>
      <c r="F4" s="5">
        <f>F3-1355.5</f>
        <v>1128.5</v>
      </c>
      <c r="G4" s="5">
        <v>1060.4000000000001</v>
      </c>
      <c r="H4" s="5">
        <v>1075.8</v>
      </c>
      <c r="I4" s="5">
        <v>1181.5</v>
      </c>
      <c r="J4" s="5">
        <f>J3-1397.6</f>
        <v>1203.2000000000003</v>
      </c>
      <c r="K4" s="5">
        <v>678.1</v>
      </c>
      <c r="L4" s="5">
        <v>697.4</v>
      </c>
      <c r="M4" s="5">
        <v>1016.8</v>
      </c>
      <c r="N4" s="5">
        <f>N3-N5</f>
        <v>963.50000000000023</v>
      </c>
      <c r="O4" s="5">
        <f>O3-O5</f>
        <v>876.95999999999981</v>
      </c>
      <c r="P4" s="5">
        <f t="shared" ref="P4:R4" si="1">P3-P5</f>
        <v>1017.9707999999998</v>
      </c>
      <c r="Q4" s="5">
        <f t="shared" si="1"/>
        <v>1023.0423000000001</v>
      </c>
      <c r="R4" s="5">
        <f t="shared" si="1"/>
        <v>1081.4714999999999</v>
      </c>
      <c r="T4" s="12">
        <f>SUM(C4:F4)</f>
        <v>4348.5</v>
      </c>
      <c r="U4" s="12">
        <f>SUM(G4:J4)</f>
        <v>4520.8999999999996</v>
      </c>
      <c r="V4" s="12">
        <f>SUM(K4:N4)</f>
        <v>3355.8</v>
      </c>
      <c r="W4" s="12">
        <f>SUM(O4:R4)</f>
        <v>3999.4445999999998</v>
      </c>
      <c r="X4" s="5">
        <f t="shared" ref="X4:AF4" si="2">X3-X5</f>
        <v>4152.8284874999999</v>
      </c>
      <c r="Y4" s="5">
        <f t="shared" si="2"/>
        <v>4360.4699118750004</v>
      </c>
      <c r="Z4" s="5">
        <f t="shared" si="2"/>
        <v>4534.8887083500013</v>
      </c>
      <c r="AA4" s="5">
        <f t="shared" si="2"/>
        <v>4716.2842566840009</v>
      </c>
      <c r="AB4" s="5">
        <f t="shared" si="2"/>
        <v>4857.7727843845214</v>
      </c>
      <c r="AC4" s="5">
        <f t="shared" si="2"/>
        <v>5003.5059679160568</v>
      </c>
      <c r="AD4" s="5">
        <f t="shared" si="2"/>
        <v>5153.611146953539</v>
      </c>
      <c r="AE4" s="5">
        <f t="shared" si="2"/>
        <v>5256.6833698926093</v>
      </c>
      <c r="AF4" s="5">
        <f t="shared" si="2"/>
        <v>5361.8170372904615</v>
      </c>
    </row>
    <row r="5" spans="2:151" s="1" customFormat="1" x14ac:dyDescent="0.3">
      <c r="B5" s="1" t="s">
        <v>25</v>
      </c>
      <c r="C5" s="9">
        <f t="shared" ref="C5:M5" si="3">C3-C4</f>
        <v>1291</v>
      </c>
      <c r="D5" s="9">
        <f t="shared" si="3"/>
        <v>1296.9999999999998</v>
      </c>
      <c r="E5" s="9">
        <f t="shared" si="3"/>
        <v>1364.8</v>
      </c>
      <c r="F5" s="9">
        <f t="shared" si="3"/>
        <v>1355.5</v>
      </c>
      <c r="G5" s="9">
        <f t="shared" si="3"/>
        <v>1295.9000000000001</v>
      </c>
      <c r="H5" s="9">
        <f t="shared" si="3"/>
        <v>1288.3999999999999</v>
      </c>
      <c r="I5" s="9">
        <f t="shared" si="3"/>
        <v>1406.1999999999998</v>
      </c>
      <c r="J5" s="9">
        <f t="shared" si="3"/>
        <v>1397.6</v>
      </c>
      <c r="K5" s="9">
        <f t="shared" si="3"/>
        <v>665.9</v>
      </c>
      <c r="L5" s="9">
        <f t="shared" si="3"/>
        <v>883.30000000000007</v>
      </c>
      <c r="M5" s="9">
        <f t="shared" si="3"/>
        <v>1101.3</v>
      </c>
      <c r="N5" s="9">
        <v>1126.3</v>
      </c>
      <c r="O5" s="9">
        <f>O3*0.55</f>
        <v>1071.8400000000001</v>
      </c>
      <c r="P5" s="9">
        <f>P3*0.54</f>
        <v>1195.0092000000002</v>
      </c>
      <c r="Q5" s="9">
        <f>Q3*0.54</f>
        <v>1200.9627</v>
      </c>
      <c r="R5" s="9">
        <f t="shared" ref="P5:R5" si="4">R3*0.55</f>
        <v>1321.7985000000001</v>
      </c>
      <c r="T5" s="9">
        <f>T3-T4</f>
        <v>5308.2999999999993</v>
      </c>
      <c r="U5" s="9">
        <f>U3-U4</f>
        <v>5388.1</v>
      </c>
      <c r="V5" s="9">
        <f>V3-V4</f>
        <v>3776.7999999999993</v>
      </c>
      <c r="W5" s="9">
        <f>W3-W4</f>
        <v>4789.6104000000005</v>
      </c>
      <c r="X5" s="9">
        <f>X3*0.55</f>
        <v>5075.6792625000007</v>
      </c>
      <c r="Y5" s="9">
        <f t="shared" ref="Y5:AF5" si="5">Y3*0.55</f>
        <v>5329.4632256250015</v>
      </c>
      <c r="Z5" s="9">
        <f t="shared" si="5"/>
        <v>5542.6417546500015</v>
      </c>
      <c r="AA5" s="9">
        <f t="shared" si="5"/>
        <v>5764.3474248360017</v>
      </c>
      <c r="AB5" s="9">
        <f t="shared" si="5"/>
        <v>5937.2778475810819</v>
      </c>
      <c r="AC5" s="9">
        <f t="shared" si="5"/>
        <v>6115.3961830085154</v>
      </c>
      <c r="AD5" s="9">
        <f t="shared" si="5"/>
        <v>6298.8580684987701</v>
      </c>
      <c r="AE5" s="9">
        <f t="shared" si="5"/>
        <v>6424.835229868746</v>
      </c>
      <c r="AF5" s="9">
        <f t="shared" si="5"/>
        <v>6553.3319344661204</v>
      </c>
    </row>
    <row r="6" spans="2:151" x14ac:dyDescent="0.3">
      <c r="B6" t="s">
        <v>26</v>
      </c>
      <c r="C6" s="5">
        <v>1053</v>
      </c>
      <c r="D6" s="5">
        <v>1071.5</v>
      </c>
      <c r="E6" s="5">
        <v>1091.3</v>
      </c>
      <c r="F6" s="5">
        <v>1217</v>
      </c>
      <c r="G6" s="5">
        <v>1161.5</v>
      </c>
      <c r="H6" s="5">
        <v>1154.5</v>
      </c>
      <c r="I6" s="5">
        <v>1141.5999999999999</v>
      </c>
      <c r="J6" s="5">
        <v>1257.5999999999999</v>
      </c>
      <c r="K6" s="5">
        <v>940.1</v>
      </c>
      <c r="L6" s="5">
        <v>882.2</v>
      </c>
      <c r="M6" s="5">
        <v>987.2</v>
      </c>
      <c r="N6" s="5">
        <v>1173.7</v>
      </c>
      <c r="O6" s="5">
        <f>K6*1.15</f>
        <v>1081.115</v>
      </c>
      <c r="P6" s="5">
        <f t="shared" ref="P6:R6" si="6">L6*1.15</f>
        <v>1014.53</v>
      </c>
      <c r="Q6" s="5">
        <f t="shared" si="6"/>
        <v>1135.28</v>
      </c>
      <c r="R6" s="5">
        <f t="shared" si="6"/>
        <v>1349.7549999999999</v>
      </c>
      <c r="T6" s="12">
        <f>SUM(C6:F6)</f>
        <v>4432.8</v>
      </c>
      <c r="U6" s="12">
        <f>SUM(G6:J6)</f>
        <v>4715.2</v>
      </c>
      <c r="V6" s="12">
        <f>SUM(K6:N6)</f>
        <v>3983.2</v>
      </c>
      <c r="W6" s="12">
        <f>SUM(O6:R6)</f>
        <v>4580.68</v>
      </c>
      <c r="X6" s="5">
        <f>W6*1.05</f>
        <v>4809.7140000000009</v>
      </c>
      <c r="Y6" s="5">
        <f>X6*1.03</f>
        <v>4954.0054200000013</v>
      </c>
      <c r="Z6" s="5">
        <f>Y6*1.03</f>
        <v>5102.6255826000015</v>
      </c>
      <c r="AA6" s="5">
        <f>Z6*1.02</f>
        <v>5204.6780942520018</v>
      </c>
      <c r="AB6" s="5">
        <f t="shared" ref="AB6:AF6" si="7">AA6*1.02</f>
        <v>5308.7716561370416</v>
      </c>
      <c r="AC6" s="5">
        <f t="shared" si="7"/>
        <v>5414.9470892597828</v>
      </c>
      <c r="AD6" s="5">
        <f t="shared" si="7"/>
        <v>5523.2460310449787</v>
      </c>
      <c r="AE6" s="5">
        <f t="shared" si="7"/>
        <v>5633.7109516658784</v>
      </c>
      <c r="AF6" s="5">
        <f t="shared" si="7"/>
        <v>5746.3851706991964</v>
      </c>
    </row>
    <row r="7" spans="2:151" x14ac:dyDescent="0.3">
      <c r="B7" t="s">
        <v>27</v>
      </c>
      <c r="C7" s="5">
        <f>-2.5-3.8</f>
        <v>-6.3</v>
      </c>
      <c r="D7" s="5">
        <f>-2.6-3.3</f>
        <v>-5.9</v>
      </c>
      <c r="E7" s="5">
        <f>-2.7-6.1</f>
        <v>-8.8000000000000007</v>
      </c>
      <c r="F7" s="5">
        <f>12.9-8.1</f>
        <v>4.8000000000000007</v>
      </c>
      <c r="G7" s="5">
        <f>-2.2+5.2-3.7</f>
        <v>-0.70000000000000018</v>
      </c>
      <c r="H7" s="5">
        <f>-1.9-113.1-0.9</f>
        <v>-115.9</v>
      </c>
      <c r="I7" s="5">
        <f>-2-2.9</f>
        <v>-4.9000000000000004</v>
      </c>
      <c r="J7" s="5">
        <f>96.1+142-2.1</f>
        <v>236</v>
      </c>
      <c r="K7" s="5">
        <f>933.5-3.6+3.1+11.2</f>
        <v>944.2</v>
      </c>
      <c r="L7" s="5">
        <f>-0.7+3.5</f>
        <v>2.8</v>
      </c>
      <c r="M7" s="5">
        <f>-3.6-4.4</f>
        <v>-8</v>
      </c>
      <c r="N7" s="5">
        <f>-5.7-68</f>
        <v>-73.7</v>
      </c>
      <c r="O7" s="5">
        <v>0</v>
      </c>
      <c r="P7" s="5">
        <v>0</v>
      </c>
      <c r="Q7" s="5">
        <v>0</v>
      </c>
      <c r="R7" s="5">
        <v>0</v>
      </c>
      <c r="T7" s="12">
        <f>SUM(C7:F7)</f>
        <v>-16.2</v>
      </c>
      <c r="U7" s="12">
        <f>SUM(G7:J7)-96.1-142.2+113.1</f>
        <v>-10.700000000000003</v>
      </c>
      <c r="V7" s="12">
        <f>SUM(K7:N7)-933.5</f>
        <v>-68.200000000000045</v>
      </c>
      <c r="W7" s="12">
        <f>SUM(O7:R7)</f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</row>
    <row r="8" spans="2:151" s="1" customFormat="1" x14ac:dyDescent="0.3">
      <c r="B8" s="1" t="s">
        <v>28</v>
      </c>
      <c r="C8" s="9">
        <f t="shared" ref="C8:R8" si="8">C5-C6-C7</f>
        <v>244.3</v>
      </c>
      <c r="D8" s="9">
        <f t="shared" si="8"/>
        <v>231.39999999999978</v>
      </c>
      <c r="E8" s="9">
        <f t="shared" si="8"/>
        <v>282.3</v>
      </c>
      <c r="F8" s="9">
        <f t="shared" si="8"/>
        <v>133.69999999999999</v>
      </c>
      <c r="G8" s="9">
        <f t="shared" si="8"/>
        <v>135.10000000000008</v>
      </c>
      <c r="H8" s="9">
        <f t="shared" si="8"/>
        <v>249.79999999999987</v>
      </c>
      <c r="I8" s="9">
        <f t="shared" si="8"/>
        <v>269.49999999999989</v>
      </c>
      <c r="J8" s="9">
        <f t="shared" si="8"/>
        <v>-96</v>
      </c>
      <c r="K8" s="9">
        <f t="shared" si="8"/>
        <v>-1218.4000000000001</v>
      </c>
      <c r="L8" s="9">
        <f t="shared" si="8"/>
        <v>-1.6999999999999771</v>
      </c>
      <c r="M8" s="9">
        <f t="shared" si="8"/>
        <v>122.09999999999991</v>
      </c>
      <c r="N8" s="9">
        <f t="shared" si="8"/>
        <v>26.299999999999912</v>
      </c>
      <c r="O8" s="9">
        <f t="shared" si="8"/>
        <v>-9.2749999999998636</v>
      </c>
      <c r="P8" s="9">
        <f t="shared" si="8"/>
        <v>180.47920000000022</v>
      </c>
      <c r="Q8" s="9">
        <f t="shared" si="8"/>
        <v>65.682700000000068</v>
      </c>
      <c r="R8" s="9">
        <f t="shared" si="8"/>
        <v>-27.956499999999778</v>
      </c>
      <c r="T8" s="9">
        <f>T5-T6-T7</f>
        <v>891.69999999999914</v>
      </c>
      <c r="U8" s="9">
        <f>U5-U6-U7</f>
        <v>683.60000000000059</v>
      </c>
      <c r="V8" s="9">
        <f>V5-V6-V7</f>
        <v>-138.2000000000005</v>
      </c>
      <c r="W8" s="9">
        <f t="shared" ref="W8:AF8" si="9">W5-W6-W7</f>
        <v>208.93040000000019</v>
      </c>
      <c r="X8" s="9">
        <f t="shared" si="9"/>
        <v>265.96526249999988</v>
      </c>
      <c r="Y8" s="9">
        <f t="shared" si="9"/>
        <v>375.45780562500022</v>
      </c>
      <c r="Z8" s="9">
        <f t="shared" si="9"/>
        <v>440.01617205000002</v>
      </c>
      <c r="AA8" s="9">
        <f t="shared" si="9"/>
        <v>559.66933058399991</v>
      </c>
      <c r="AB8" s="9">
        <f t="shared" si="9"/>
        <v>628.50619144404027</v>
      </c>
      <c r="AC8" s="9">
        <f t="shared" si="9"/>
        <v>700.44909374873259</v>
      </c>
      <c r="AD8" s="9">
        <f t="shared" si="9"/>
        <v>775.61203745379134</v>
      </c>
      <c r="AE8" s="9">
        <f t="shared" si="9"/>
        <v>791.12427820286757</v>
      </c>
      <c r="AF8" s="9">
        <f t="shared" si="9"/>
        <v>806.94676376692405</v>
      </c>
    </row>
    <row r="9" spans="2:151" x14ac:dyDescent="0.3">
      <c r="B9" t="s">
        <v>29</v>
      </c>
      <c r="C9" s="5">
        <v>29.4</v>
      </c>
      <c r="D9" s="5">
        <v>30.3</v>
      </c>
      <c r="E9" s="5">
        <v>30.3</v>
      </c>
      <c r="F9" s="5">
        <v>31.1</v>
      </c>
      <c r="G9" s="5">
        <v>31</v>
      </c>
      <c r="H9" s="5">
        <v>28.3</v>
      </c>
      <c r="I9" s="5">
        <v>29.2</v>
      </c>
      <c r="J9" s="5">
        <v>31.1</v>
      </c>
      <c r="K9" s="5">
        <v>22.5</v>
      </c>
      <c r="L9" s="5">
        <v>32.700000000000003</v>
      </c>
      <c r="M9" s="5">
        <v>34.4</v>
      </c>
      <c r="N9" s="5">
        <v>35.5</v>
      </c>
      <c r="O9" s="5">
        <f>N9*0.95</f>
        <v>33.725000000000001</v>
      </c>
      <c r="P9" s="5">
        <f t="shared" ref="P9:R9" si="10">O9*0.95</f>
        <v>32.03875</v>
      </c>
      <c r="Q9" s="5">
        <f t="shared" si="10"/>
        <v>30.436812499999998</v>
      </c>
      <c r="R9" s="5">
        <f t="shared" si="10"/>
        <v>28.914971874999996</v>
      </c>
      <c r="T9" s="12">
        <f>SUM(C9:F9)</f>
        <v>121.1</v>
      </c>
      <c r="U9" s="12">
        <f>SUM(G9:J9)</f>
        <v>119.6</v>
      </c>
      <c r="V9" s="12">
        <f>SUM(K9:N9)</f>
        <v>125.1</v>
      </c>
      <c r="W9" s="12">
        <f>SUM(O9:R9)</f>
        <v>125.115534375</v>
      </c>
      <c r="X9" s="5">
        <f>W9*0.8</f>
        <v>100.0924275</v>
      </c>
      <c r="Y9" s="5">
        <f t="shared" ref="Y9:AF9" si="11">X9*0.8</f>
        <v>80.073942000000002</v>
      </c>
      <c r="Z9" s="5">
        <f t="shared" si="11"/>
        <v>64.059153600000002</v>
      </c>
      <c r="AA9" s="5">
        <f t="shared" si="11"/>
        <v>51.247322880000006</v>
      </c>
      <c r="AB9" s="5">
        <f t="shared" si="11"/>
        <v>40.997858304000005</v>
      </c>
      <c r="AC9" s="5">
        <f t="shared" si="11"/>
        <v>32.798286643200008</v>
      </c>
      <c r="AD9" s="5">
        <f t="shared" si="11"/>
        <v>26.238629314560008</v>
      </c>
      <c r="AE9" s="5">
        <f t="shared" si="11"/>
        <v>20.990903451648009</v>
      </c>
      <c r="AF9" s="5">
        <f t="shared" si="11"/>
        <v>16.792722761318409</v>
      </c>
    </row>
    <row r="10" spans="2:151" x14ac:dyDescent="0.3">
      <c r="B10" t="s">
        <v>30</v>
      </c>
      <c r="C10" s="5">
        <v>-1</v>
      </c>
      <c r="D10" s="5">
        <v>-1.2</v>
      </c>
      <c r="E10" s="5">
        <v>-0.9</v>
      </c>
      <c r="F10" s="5">
        <v>-1.1000000000000001</v>
      </c>
      <c r="G10" s="5">
        <v>-1.1000000000000001</v>
      </c>
      <c r="H10" s="5">
        <v>-1.3</v>
      </c>
      <c r="I10" s="5">
        <v>-1.4</v>
      </c>
      <c r="J10" s="5">
        <v>-1.1000000000000001</v>
      </c>
      <c r="K10" s="5">
        <v>-1.3</v>
      </c>
      <c r="L10" s="5">
        <v>-0.6</v>
      </c>
      <c r="M10" s="5">
        <v>-0.9</v>
      </c>
      <c r="N10" s="5">
        <v>-1</v>
      </c>
      <c r="O10" s="5">
        <f t="shared" ref="O10:R10" si="12">-N14*0.01</f>
        <v>0.57700000000000085</v>
      </c>
      <c r="P10" s="5">
        <f t="shared" si="12"/>
        <v>0.41398149999999873</v>
      </c>
      <c r="Q10" s="5">
        <f t="shared" si="12"/>
        <v>-1.4062514507500021</v>
      </c>
      <c r="R10" s="5">
        <f t="shared" si="12"/>
        <v>-0.29321711160600056</v>
      </c>
      <c r="T10" s="12">
        <f>SUM(C10:F10)</f>
        <v>-4.2</v>
      </c>
      <c r="U10" s="12">
        <f>SUM(G10:J10)</f>
        <v>-4.9000000000000004</v>
      </c>
      <c r="V10" s="12">
        <f>SUM(K10:N10)</f>
        <v>-3.8</v>
      </c>
      <c r="W10" s="12">
        <f>SUM(O10:R10)</f>
        <v>-0.70848706235600312</v>
      </c>
      <c r="X10" s="5">
        <f>-W14*0.01</f>
        <v>-0.83286102424884922</v>
      </c>
      <c r="Y10" s="5">
        <f t="shared" ref="Y10:AF10" si="13">-X14*0.01</f>
        <v>-1.5003512642182386</v>
      </c>
      <c r="Z10" s="5">
        <f t="shared" si="13"/>
        <v>-2.3750737191137477</v>
      </c>
      <c r="AA10" s="5">
        <f t="shared" si="13"/>
        <v>-3.0266567373529103</v>
      </c>
      <c r="AB10" s="5">
        <f t="shared" si="13"/>
        <v>-4.0915893155308227</v>
      </c>
      <c r="AC10" s="5">
        <f t="shared" si="13"/>
        <v>-4.7327993796445682</v>
      </c>
      <c r="AD10" s="5">
        <f t="shared" si="13"/>
        <v>-5.379068851881418</v>
      </c>
      <c r="AE10" s="5">
        <f t="shared" si="13"/>
        <v>-6.0380198159289025</v>
      </c>
      <c r="AF10" s="5">
        <f t="shared" si="13"/>
        <v>-6.2093711565371885</v>
      </c>
    </row>
    <row r="11" spans="2:151" s="1" customFormat="1" x14ac:dyDescent="0.3">
      <c r="B11" s="1" t="s">
        <v>31</v>
      </c>
      <c r="C11" s="9">
        <f t="shared" ref="C11:R11" si="14">C8-C9-C10</f>
        <v>215.9</v>
      </c>
      <c r="D11" s="9">
        <f t="shared" si="14"/>
        <v>202.29999999999976</v>
      </c>
      <c r="E11" s="9">
        <f t="shared" si="14"/>
        <v>252.9</v>
      </c>
      <c r="F11" s="9">
        <f t="shared" si="14"/>
        <v>103.69999999999999</v>
      </c>
      <c r="G11" s="9">
        <f t="shared" si="14"/>
        <v>105.20000000000007</v>
      </c>
      <c r="H11" s="9">
        <f t="shared" si="14"/>
        <v>222.79999999999987</v>
      </c>
      <c r="I11" s="9">
        <f t="shared" si="14"/>
        <v>241.6999999999999</v>
      </c>
      <c r="J11" s="9">
        <f t="shared" si="14"/>
        <v>-126</v>
      </c>
      <c r="K11" s="9">
        <f t="shared" si="14"/>
        <v>-1239.6000000000001</v>
      </c>
      <c r="L11" s="9">
        <f t="shared" si="14"/>
        <v>-33.799999999999976</v>
      </c>
      <c r="M11" s="9">
        <f t="shared" si="14"/>
        <v>88.599999999999909</v>
      </c>
      <c r="N11" s="9">
        <f t="shared" si="14"/>
        <v>-8.2000000000000881</v>
      </c>
      <c r="O11" s="9">
        <f t="shared" si="14"/>
        <v>-43.576999999999863</v>
      </c>
      <c r="P11" s="9">
        <f t="shared" si="14"/>
        <v>148.02646850000022</v>
      </c>
      <c r="Q11" s="9">
        <f t="shared" si="14"/>
        <v>36.652138950750071</v>
      </c>
      <c r="R11" s="9">
        <f t="shared" si="14"/>
        <v>-56.578254763393772</v>
      </c>
      <c r="T11" s="9">
        <f>T8-T9-T10</f>
        <v>774.79999999999916</v>
      </c>
      <c r="U11" s="9">
        <f>U8-U9-U10</f>
        <v>568.90000000000055</v>
      </c>
      <c r="V11" s="9">
        <f>V8-V9-V10</f>
        <v>-259.50000000000051</v>
      </c>
      <c r="W11" s="9">
        <f t="shared" ref="W11:AF11" si="15">W8-W9-W10</f>
        <v>84.523352687356194</v>
      </c>
      <c r="X11" s="9">
        <f t="shared" si="15"/>
        <v>166.70569602424874</v>
      </c>
      <c r="Y11" s="9">
        <f t="shared" si="15"/>
        <v>296.88421488921847</v>
      </c>
      <c r="Z11" s="9">
        <f t="shared" si="15"/>
        <v>378.33209216911376</v>
      </c>
      <c r="AA11" s="9">
        <f t="shared" si="15"/>
        <v>511.44866444135283</v>
      </c>
      <c r="AB11" s="9">
        <f t="shared" si="15"/>
        <v>591.599922455571</v>
      </c>
      <c r="AC11" s="9">
        <f t="shared" si="15"/>
        <v>672.38360648517721</v>
      </c>
      <c r="AD11" s="9">
        <f t="shared" si="15"/>
        <v>754.75247699111276</v>
      </c>
      <c r="AE11" s="9">
        <f t="shared" si="15"/>
        <v>776.17139456714847</v>
      </c>
      <c r="AF11" s="9">
        <f t="shared" si="15"/>
        <v>796.36341216214282</v>
      </c>
    </row>
    <row r="12" spans="2:151" x14ac:dyDescent="0.3">
      <c r="B12" t="s">
        <v>32</v>
      </c>
      <c r="C12" s="5">
        <v>37</v>
      </c>
      <c r="D12" s="5">
        <v>37.6</v>
      </c>
      <c r="E12" s="5">
        <v>10.3</v>
      </c>
      <c r="F12" s="5">
        <v>-57.2</v>
      </c>
      <c r="G12" s="5">
        <v>23.6</v>
      </c>
      <c r="H12" s="5">
        <v>29.7</v>
      </c>
      <c r="I12" s="5">
        <v>32.799999999999997</v>
      </c>
      <c r="J12" s="5">
        <v>-57.2</v>
      </c>
      <c r="K12" s="5">
        <v>-142.4</v>
      </c>
      <c r="L12" s="5">
        <v>17.899999999999999</v>
      </c>
      <c r="M12" s="5">
        <v>19.100000000000001</v>
      </c>
      <c r="N12" s="5">
        <v>49.9</v>
      </c>
      <c r="O12" s="5">
        <f>O11*0.05</f>
        <v>-2.1788499999999931</v>
      </c>
      <c r="P12" s="5">
        <f t="shared" ref="P12" si="16">P11*0.05</f>
        <v>7.4013234250000117</v>
      </c>
      <c r="Q12" s="5">
        <f>Q11*0.2</f>
        <v>7.330427790150015</v>
      </c>
      <c r="R12" s="5">
        <f>R11*0.2</f>
        <v>-11.315650952678755</v>
      </c>
      <c r="T12" s="12">
        <f>SUM(C12:F12)</f>
        <v>27.699999999999989</v>
      </c>
      <c r="U12" s="12">
        <f>SUM(G12:J12)</f>
        <v>28.899999999999991</v>
      </c>
      <c r="V12" s="12">
        <f>SUM(K12:N12)</f>
        <v>-55.500000000000007</v>
      </c>
      <c r="W12" s="12">
        <f>SUM(O12:R12)</f>
        <v>1.237250262471278</v>
      </c>
      <c r="X12" s="5">
        <f>X11*0.1</f>
        <v>16.670569602424873</v>
      </c>
      <c r="Y12" s="5">
        <f>Y11*0.2</f>
        <v>59.376842977843694</v>
      </c>
      <c r="Z12" s="5">
        <f t="shared" ref="Z12:AF12" si="17">Z11*0.2</f>
        <v>75.666418433822756</v>
      </c>
      <c r="AA12" s="5">
        <f t="shared" si="17"/>
        <v>102.28973288827058</v>
      </c>
      <c r="AB12" s="5">
        <f t="shared" si="17"/>
        <v>118.31998449111421</v>
      </c>
      <c r="AC12" s="5">
        <f t="shared" si="17"/>
        <v>134.47672129703545</v>
      </c>
      <c r="AD12" s="5">
        <f t="shared" si="17"/>
        <v>150.95049539822256</v>
      </c>
      <c r="AE12" s="5">
        <f t="shared" si="17"/>
        <v>155.2342789134297</v>
      </c>
      <c r="AF12" s="5">
        <f t="shared" si="17"/>
        <v>159.27268243242858</v>
      </c>
    </row>
    <row r="13" spans="2:151" x14ac:dyDescent="0.3">
      <c r="B13" t="s">
        <v>34</v>
      </c>
      <c r="C13" s="5">
        <v>-0.5</v>
      </c>
      <c r="D13" s="5">
        <v>-0.5</v>
      </c>
      <c r="E13" s="5">
        <v>-0.5</v>
      </c>
      <c r="F13" s="5">
        <v>-1.1000000000000001</v>
      </c>
      <c r="G13" s="5">
        <v>-0.4</v>
      </c>
      <c r="H13" s="5">
        <v>-0.4</v>
      </c>
      <c r="I13" s="5">
        <v>-0.3</v>
      </c>
      <c r="J13" s="5">
        <v>-1.1000000000000001</v>
      </c>
      <c r="K13" s="5">
        <v>-0.4</v>
      </c>
      <c r="L13" s="5">
        <v>-0.3</v>
      </c>
      <c r="M13" s="5">
        <v>-0.3</v>
      </c>
      <c r="N13" s="5">
        <v>-0.4</v>
      </c>
      <c r="O13" s="5">
        <v>0</v>
      </c>
      <c r="P13" s="5">
        <v>0</v>
      </c>
      <c r="Q13" s="5">
        <v>0</v>
      </c>
      <c r="R13" s="5">
        <v>0</v>
      </c>
      <c r="T13" s="12">
        <f>SUM(C13:F13)</f>
        <v>-2.6</v>
      </c>
      <c r="U13" s="12">
        <f>SUM(G13:J13)</f>
        <v>-2.2000000000000002</v>
      </c>
      <c r="V13" s="12">
        <f>SUM(K13:N13)</f>
        <v>-1.4</v>
      </c>
      <c r="W13" s="12">
        <f>SUM(O13:R13)</f>
        <v>0</v>
      </c>
      <c r="X13" s="12">
        <f>W13*1.05</f>
        <v>0</v>
      </c>
      <c r="Y13" s="12">
        <f>X13*1.03</f>
        <v>0</v>
      </c>
      <c r="Z13" s="12">
        <f>Y13*1.03</f>
        <v>0</v>
      </c>
      <c r="AA13" s="12">
        <f>Z13*1.03</f>
        <v>0</v>
      </c>
      <c r="AB13" s="12">
        <f>AA13*1.02</f>
        <v>0</v>
      </c>
      <c r="AC13" s="12">
        <f t="shared" ref="AC13:AF13" si="18">AB13*1.02</f>
        <v>0</v>
      </c>
      <c r="AD13" s="12">
        <f t="shared" si="18"/>
        <v>0</v>
      </c>
      <c r="AE13" s="12">
        <f t="shared" si="18"/>
        <v>0</v>
      </c>
      <c r="AF13" s="12">
        <f t="shared" si="18"/>
        <v>0</v>
      </c>
    </row>
    <row r="14" spans="2:151" s="1" customFormat="1" x14ac:dyDescent="0.3">
      <c r="B14" s="1" t="s">
        <v>33</v>
      </c>
      <c r="C14" s="9">
        <f t="shared" ref="C14:N14" si="19">C11-C12-C13</f>
        <v>179.4</v>
      </c>
      <c r="D14" s="9">
        <f t="shared" si="19"/>
        <v>165.19999999999976</v>
      </c>
      <c r="E14" s="9">
        <f t="shared" si="19"/>
        <v>243.1</v>
      </c>
      <c r="F14" s="9">
        <f t="shared" si="19"/>
        <v>161.99999999999997</v>
      </c>
      <c r="G14" s="9">
        <f t="shared" si="19"/>
        <v>82.000000000000085</v>
      </c>
      <c r="H14" s="9">
        <f t="shared" si="19"/>
        <v>193.49999999999989</v>
      </c>
      <c r="I14" s="9">
        <f t="shared" si="19"/>
        <v>209.19999999999993</v>
      </c>
      <c r="J14" s="9">
        <f t="shared" si="19"/>
        <v>-67.7</v>
      </c>
      <c r="K14" s="9">
        <f t="shared" si="19"/>
        <v>-1096.8</v>
      </c>
      <c r="L14" s="9">
        <f t="shared" si="19"/>
        <v>-51.399999999999977</v>
      </c>
      <c r="M14" s="9">
        <f t="shared" si="19"/>
        <v>69.799999999999912</v>
      </c>
      <c r="N14" s="9">
        <f t="shared" si="19"/>
        <v>-57.700000000000088</v>
      </c>
      <c r="O14" s="9">
        <f t="shared" ref="O14:R14" si="20">O11-O12-O13</f>
        <v>-41.398149999999873</v>
      </c>
      <c r="P14" s="9">
        <f t="shared" si="20"/>
        <v>140.6251450750002</v>
      </c>
      <c r="Q14" s="9">
        <f t="shared" si="20"/>
        <v>29.321711160600056</v>
      </c>
      <c r="R14" s="9">
        <f t="shared" si="20"/>
        <v>-45.262603810715021</v>
      </c>
      <c r="T14" s="9">
        <f>T11-T12-T13</f>
        <v>749.69999999999925</v>
      </c>
      <c r="U14" s="9">
        <f>U11-U12-U13</f>
        <v>542.20000000000061</v>
      </c>
      <c r="V14" s="9">
        <f>V11-V12-V13</f>
        <v>-202.60000000000051</v>
      </c>
      <c r="W14" s="9">
        <f t="shared" ref="W14:AF14" si="21">W11-W12-W13</f>
        <v>83.286102424884916</v>
      </c>
      <c r="X14" s="9">
        <f t="shared" si="21"/>
        <v>150.03512642182386</v>
      </c>
      <c r="Y14" s="9">
        <f t="shared" si="21"/>
        <v>237.50737191137478</v>
      </c>
      <c r="Z14" s="9">
        <f t="shared" si="21"/>
        <v>302.66567373529102</v>
      </c>
      <c r="AA14" s="9">
        <f t="shared" si="21"/>
        <v>409.15893155308225</v>
      </c>
      <c r="AB14" s="9">
        <f t="shared" si="21"/>
        <v>473.27993796445679</v>
      </c>
      <c r="AC14" s="9">
        <f t="shared" si="21"/>
        <v>537.90688518814181</v>
      </c>
      <c r="AD14" s="9">
        <f t="shared" si="21"/>
        <v>603.80198159289023</v>
      </c>
      <c r="AE14" s="9">
        <f t="shared" si="21"/>
        <v>620.93711565371882</v>
      </c>
      <c r="AF14" s="9">
        <f t="shared" si="21"/>
        <v>637.09072972971421</v>
      </c>
      <c r="AG14" s="1">
        <f>AF14*(1+$AI$20)</f>
        <v>630.71982243241712</v>
      </c>
      <c r="AH14" s="1">
        <f t="shared" ref="AH14:CS14" si="22">AG14*(1+$AI$20)</f>
        <v>624.41262420809289</v>
      </c>
      <c r="AI14" s="1">
        <f t="shared" si="22"/>
        <v>618.16849796601196</v>
      </c>
      <c r="AJ14" s="1">
        <f t="shared" si="22"/>
        <v>611.98681298635188</v>
      </c>
      <c r="AK14" s="1">
        <f t="shared" si="22"/>
        <v>605.86694485648832</v>
      </c>
      <c r="AL14" s="1">
        <f t="shared" si="22"/>
        <v>599.80827540792347</v>
      </c>
      <c r="AM14" s="1">
        <f t="shared" si="22"/>
        <v>593.81019265384418</v>
      </c>
      <c r="AN14" s="1">
        <f t="shared" si="22"/>
        <v>587.8720907273057</v>
      </c>
      <c r="AO14" s="1">
        <f t="shared" si="22"/>
        <v>581.99336982003263</v>
      </c>
      <c r="AP14" s="1">
        <f t="shared" si="22"/>
        <v>576.17343612183231</v>
      </c>
      <c r="AQ14" s="1">
        <f t="shared" si="22"/>
        <v>570.41170176061394</v>
      </c>
      <c r="AR14" s="1">
        <f t="shared" si="22"/>
        <v>564.70758474300783</v>
      </c>
      <c r="AS14" s="1">
        <f t="shared" si="22"/>
        <v>559.06050889557775</v>
      </c>
      <c r="AT14" s="1">
        <f t="shared" si="22"/>
        <v>553.46990380662203</v>
      </c>
      <c r="AU14" s="1">
        <f t="shared" si="22"/>
        <v>547.93520476855576</v>
      </c>
      <c r="AV14" s="1">
        <f t="shared" si="22"/>
        <v>542.45585272087021</v>
      </c>
      <c r="AW14" s="1">
        <f t="shared" si="22"/>
        <v>537.03129419366155</v>
      </c>
      <c r="AX14" s="1">
        <f t="shared" si="22"/>
        <v>531.66098125172493</v>
      </c>
      <c r="AY14" s="1">
        <f t="shared" si="22"/>
        <v>526.34437143920763</v>
      </c>
      <c r="AZ14" s="1">
        <f t="shared" si="22"/>
        <v>521.08092772481552</v>
      </c>
      <c r="BA14" s="1">
        <f t="shared" si="22"/>
        <v>515.87011844756739</v>
      </c>
      <c r="BB14" s="1">
        <f t="shared" si="22"/>
        <v>510.71141726309173</v>
      </c>
      <c r="BC14" s="1">
        <f t="shared" si="22"/>
        <v>505.6043030904608</v>
      </c>
      <c r="BD14" s="1">
        <f t="shared" si="22"/>
        <v>500.54826005955618</v>
      </c>
      <c r="BE14" s="1">
        <f t="shared" si="22"/>
        <v>495.54277745896064</v>
      </c>
      <c r="BF14" s="1">
        <f t="shared" si="22"/>
        <v>490.58734968437102</v>
      </c>
      <c r="BG14" s="1">
        <f t="shared" si="22"/>
        <v>485.68147618752732</v>
      </c>
      <c r="BH14" s="1">
        <f t="shared" si="22"/>
        <v>480.82466142565204</v>
      </c>
      <c r="BI14" s="1">
        <f t="shared" si="22"/>
        <v>476.01641481139552</v>
      </c>
      <c r="BJ14" s="1">
        <f t="shared" si="22"/>
        <v>471.25625066328155</v>
      </c>
      <c r="BK14" s="1">
        <f t="shared" si="22"/>
        <v>466.54368815664873</v>
      </c>
      <c r="BL14" s="1">
        <f t="shared" si="22"/>
        <v>461.87825127508222</v>
      </c>
      <c r="BM14" s="1">
        <f t="shared" si="22"/>
        <v>457.25946876233138</v>
      </c>
      <c r="BN14" s="1">
        <f t="shared" si="22"/>
        <v>452.68687407470804</v>
      </c>
      <c r="BO14" s="1">
        <f t="shared" si="22"/>
        <v>448.16000533396095</v>
      </c>
      <c r="BP14" s="1">
        <f t="shared" si="22"/>
        <v>443.67840528062135</v>
      </c>
      <c r="BQ14" s="1">
        <f t="shared" si="22"/>
        <v>439.24162122781513</v>
      </c>
      <c r="BR14" s="1">
        <f t="shared" si="22"/>
        <v>434.849205015537</v>
      </c>
      <c r="BS14" s="1">
        <f t="shared" si="22"/>
        <v>430.50071296538164</v>
      </c>
      <c r="BT14" s="1">
        <f t="shared" si="22"/>
        <v>426.19570583572784</v>
      </c>
      <c r="BU14" s="1">
        <f t="shared" si="22"/>
        <v>421.93374877737057</v>
      </c>
      <c r="BV14" s="1">
        <f t="shared" si="22"/>
        <v>417.71441128959685</v>
      </c>
      <c r="BW14" s="1">
        <f t="shared" si="22"/>
        <v>413.53726717670088</v>
      </c>
      <c r="BX14" s="1">
        <f t="shared" si="22"/>
        <v>409.40189450493386</v>
      </c>
      <c r="BY14" s="1">
        <f t="shared" si="22"/>
        <v>405.30787555988451</v>
      </c>
      <c r="BZ14" s="1">
        <f t="shared" si="22"/>
        <v>401.25479680428566</v>
      </c>
      <c r="CA14" s="1">
        <f t="shared" si="22"/>
        <v>397.24224883624282</v>
      </c>
      <c r="CB14" s="1">
        <f t="shared" si="22"/>
        <v>393.26982634788038</v>
      </c>
      <c r="CC14" s="1">
        <f t="shared" si="22"/>
        <v>389.33712808440157</v>
      </c>
      <c r="CD14" s="1">
        <f t="shared" si="22"/>
        <v>385.44375680355756</v>
      </c>
      <c r="CE14" s="1">
        <f t="shared" si="22"/>
        <v>381.589319235522</v>
      </c>
      <c r="CF14" s="1">
        <f t="shared" si="22"/>
        <v>377.77342604316675</v>
      </c>
      <c r="CG14" s="1">
        <f t="shared" si="22"/>
        <v>373.99569178273509</v>
      </c>
      <c r="CH14" s="1">
        <f t="shared" si="22"/>
        <v>370.25573486490777</v>
      </c>
      <c r="CI14" s="1">
        <f t="shared" si="22"/>
        <v>366.5531775162587</v>
      </c>
      <c r="CJ14" s="1">
        <f t="shared" si="22"/>
        <v>362.88764574109609</v>
      </c>
      <c r="CK14" s="1">
        <f t="shared" si="22"/>
        <v>359.25876928368513</v>
      </c>
      <c r="CL14" s="1">
        <f t="shared" si="22"/>
        <v>355.66618159084828</v>
      </c>
      <c r="CM14" s="1">
        <f t="shared" si="22"/>
        <v>352.10951977493977</v>
      </c>
      <c r="CN14" s="1">
        <f t="shared" si="22"/>
        <v>348.58842457719038</v>
      </c>
      <c r="CO14" s="1">
        <f t="shared" si="22"/>
        <v>345.10254033141848</v>
      </c>
      <c r="CP14" s="1">
        <f t="shared" si="22"/>
        <v>341.65151492810429</v>
      </c>
      <c r="CQ14" s="1">
        <f t="shared" si="22"/>
        <v>338.23499977882324</v>
      </c>
      <c r="CR14" s="1">
        <f t="shared" si="22"/>
        <v>334.85264978103498</v>
      </c>
      <c r="CS14" s="1">
        <f t="shared" si="22"/>
        <v>331.50412328322466</v>
      </c>
      <c r="CT14" s="1">
        <f t="shared" ref="CT14:EU14" si="23">CS14*(1+$AI$20)</f>
        <v>328.18908205039241</v>
      </c>
      <c r="CU14" s="1">
        <f t="shared" si="23"/>
        <v>324.9071912298885</v>
      </c>
      <c r="CV14" s="1">
        <f t="shared" si="23"/>
        <v>321.65811931758958</v>
      </c>
      <c r="CW14" s="1">
        <f t="shared" si="23"/>
        <v>318.44153812441368</v>
      </c>
      <c r="CX14" s="1">
        <f t="shared" si="23"/>
        <v>315.25712274316953</v>
      </c>
      <c r="CY14" s="1">
        <f t="shared" si="23"/>
        <v>312.10455151573785</v>
      </c>
      <c r="CZ14" s="1">
        <f t="shared" si="23"/>
        <v>308.98350600058046</v>
      </c>
      <c r="DA14" s="1">
        <f t="shared" si="23"/>
        <v>305.89367094057468</v>
      </c>
      <c r="DB14" s="1">
        <f t="shared" si="23"/>
        <v>302.83473423116891</v>
      </c>
      <c r="DC14" s="1">
        <f t="shared" si="23"/>
        <v>299.80638688885722</v>
      </c>
      <c r="DD14" s="1">
        <f t="shared" si="23"/>
        <v>296.80832301996867</v>
      </c>
      <c r="DE14" s="1">
        <f t="shared" si="23"/>
        <v>293.84023978976899</v>
      </c>
      <c r="DF14" s="1">
        <f t="shared" si="23"/>
        <v>290.90183739187131</v>
      </c>
      <c r="DG14" s="1">
        <f t="shared" si="23"/>
        <v>287.99281901795257</v>
      </c>
      <c r="DH14" s="1">
        <f t="shared" si="23"/>
        <v>285.11289082777301</v>
      </c>
      <c r="DI14" s="1">
        <f t="shared" si="23"/>
        <v>282.26176191949526</v>
      </c>
      <c r="DJ14" s="1">
        <f t="shared" si="23"/>
        <v>279.43914430030031</v>
      </c>
      <c r="DK14" s="1">
        <f t="shared" si="23"/>
        <v>276.64475285729731</v>
      </c>
      <c r="DL14" s="1">
        <f t="shared" si="23"/>
        <v>273.87830532872431</v>
      </c>
      <c r="DM14" s="1">
        <f t="shared" si="23"/>
        <v>271.13952227543706</v>
      </c>
      <c r="DN14" s="1">
        <f t="shared" si="23"/>
        <v>268.42812705268267</v>
      </c>
      <c r="DO14" s="1">
        <f t="shared" si="23"/>
        <v>265.74384578215586</v>
      </c>
      <c r="DP14" s="1">
        <f t="shared" si="23"/>
        <v>263.08640732433429</v>
      </c>
      <c r="DQ14" s="1">
        <f t="shared" si="23"/>
        <v>260.45554325109094</v>
      </c>
      <c r="DR14" s="1">
        <f t="shared" si="23"/>
        <v>257.85098781858005</v>
      </c>
      <c r="DS14" s="1">
        <f t="shared" si="23"/>
        <v>255.27247794039425</v>
      </c>
      <c r="DT14" s="1">
        <f t="shared" si="23"/>
        <v>252.71975316099031</v>
      </c>
      <c r="DU14" s="1">
        <f t="shared" si="23"/>
        <v>250.19255562938039</v>
      </c>
      <c r="DV14" s="1">
        <f t="shared" si="23"/>
        <v>247.6906300730866</v>
      </c>
      <c r="DW14" s="1">
        <f t="shared" si="23"/>
        <v>245.21372377235573</v>
      </c>
      <c r="DX14" s="1">
        <f t="shared" si="23"/>
        <v>242.76158653463219</v>
      </c>
      <c r="DY14" s="1">
        <f t="shared" si="23"/>
        <v>240.33397066928586</v>
      </c>
      <c r="DZ14" s="1">
        <f t="shared" si="23"/>
        <v>237.930630962593</v>
      </c>
      <c r="EA14" s="1">
        <f t="shared" si="23"/>
        <v>235.55132465296705</v>
      </c>
      <c r="EB14" s="1">
        <f t="shared" si="23"/>
        <v>233.19581140643737</v>
      </c>
      <c r="EC14" s="1">
        <f t="shared" si="23"/>
        <v>230.86385329237299</v>
      </c>
      <c r="ED14" s="1">
        <f t="shared" si="23"/>
        <v>228.55521475944926</v>
      </c>
      <c r="EE14" s="1">
        <f t="shared" si="23"/>
        <v>226.26966261185476</v>
      </c>
      <c r="EF14" s="1">
        <f t="shared" si="23"/>
        <v>224.0069659857362</v>
      </c>
      <c r="EG14" s="1">
        <f t="shared" si="23"/>
        <v>221.76689632587883</v>
      </c>
      <c r="EH14" s="1">
        <f t="shared" si="23"/>
        <v>219.54922736262003</v>
      </c>
      <c r="EI14" s="1">
        <f t="shared" si="23"/>
        <v>217.35373508899383</v>
      </c>
      <c r="EJ14" s="1">
        <f t="shared" si="23"/>
        <v>215.18019773810389</v>
      </c>
      <c r="EK14" s="1">
        <f t="shared" si="23"/>
        <v>213.02839576072284</v>
      </c>
      <c r="EL14" s="1">
        <f t="shared" si="23"/>
        <v>210.89811180311563</v>
      </c>
      <c r="EM14" s="1">
        <f t="shared" si="23"/>
        <v>208.78913068508447</v>
      </c>
      <c r="EN14" s="1">
        <f t="shared" si="23"/>
        <v>206.70123937823362</v>
      </c>
      <c r="EO14" s="1">
        <f t="shared" si="23"/>
        <v>204.63422698445129</v>
      </c>
      <c r="EP14" s="1">
        <f t="shared" si="23"/>
        <v>202.58788471460679</v>
      </c>
      <c r="EQ14" s="1">
        <f t="shared" si="23"/>
        <v>200.56200586746073</v>
      </c>
      <c r="ER14" s="1">
        <f t="shared" si="23"/>
        <v>198.5563858087861</v>
      </c>
      <c r="ES14" s="1">
        <f t="shared" si="23"/>
        <v>196.57082195069825</v>
      </c>
      <c r="ET14" s="1">
        <f t="shared" si="23"/>
        <v>194.60511373119127</v>
      </c>
      <c r="EU14" s="1">
        <f t="shared" si="23"/>
        <v>192.65906259387936</v>
      </c>
    </row>
    <row r="15" spans="2:151" x14ac:dyDescent="0.3">
      <c r="B15" t="s">
        <v>2</v>
      </c>
      <c r="C15" s="5">
        <v>71</v>
      </c>
      <c r="D15" s="5">
        <v>71</v>
      </c>
      <c r="E15" s="5">
        <v>71</v>
      </c>
      <c r="F15" s="5">
        <v>71</v>
      </c>
      <c r="G15" s="5">
        <v>71</v>
      </c>
      <c r="H15" s="5">
        <v>71</v>
      </c>
      <c r="I15" s="5">
        <v>71</v>
      </c>
      <c r="J15" s="5">
        <v>71</v>
      </c>
      <c r="K15" s="5">
        <v>71</v>
      </c>
      <c r="L15" s="5">
        <v>71</v>
      </c>
      <c r="M15" s="5">
        <v>71</v>
      </c>
      <c r="N15" s="5">
        <v>71</v>
      </c>
      <c r="O15" s="5">
        <v>71</v>
      </c>
      <c r="P15" s="5">
        <v>71</v>
      </c>
      <c r="Q15" s="5">
        <v>71</v>
      </c>
      <c r="R15" s="5">
        <v>71</v>
      </c>
      <c r="T15" s="5">
        <v>71</v>
      </c>
      <c r="U15" s="5">
        <v>71</v>
      </c>
      <c r="V15" s="5">
        <v>71</v>
      </c>
      <c r="W15" s="5">
        <v>71</v>
      </c>
      <c r="X15" s="5">
        <v>71</v>
      </c>
      <c r="Y15" s="5">
        <v>71</v>
      </c>
      <c r="Z15" s="5">
        <v>71</v>
      </c>
      <c r="AA15" s="5">
        <v>71</v>
      </c>
      <c r="AB15" s="5">
        <v>71</v>
      </c>
      <c r="AC15" s="5">
        <v>71</v>
      </c>
      <c r="AD15" s="5">
        <v>71</v>
      </c>
      <c r="AE15" s="5">
        <v>71</v>
      </c>
      <c r="AF15" s="5">
        <v>71</v>
      </c>
    </row>
    <row r="16" spans="2:151" s="1" customFormat="1" x14ac:dyDescent="0.3">
      <c r="B16" s="1" t="s">
        <v>35</v>
      </c>
      <c r="C16" s="8">
        <f t="shared" ref="C16:N16" si="24">C14/C15-1</f>
        <v>1.5267605633802819</v>
      </c>
      <c r="D16" s="8">
        <f t="shared" si="24"/>
        <v>1.3267605633802781</v>
      </c>
      <c r="E16" s="8">
        <f t="shared" si="24"/>
        <v>2.4239436619718311</v>
      </c>
      <c r="F16" s="8">
        <f t="shared" si="24"/>
        <v>1.28169014084507</v>
      </c>
      <c r="G16" s="8">
        <f t="shared" si="24"/>
        <v>0.15492957746478986</v>
      </c>
      <c r="H16" s="8">
        <f t="shared" si="24"/>
        <v>1.7253521126760547</v>
      </c>
      <c r="I16" s="8">
        <f t="shared" si="24"/>
        <v>1.9464788732394358</v>
      </c>
      <c r="J16" s="8">
        <f t="shared" si="24"/>
        <v>-1.9535211267605634</v>
      </c>
      <c r="K16" s="8">
        <f t="shared" si="24"/>
        <v>-16.447887323943661</v>
      </c>
      <c r="L16" s="8">
        <f t="shared" si="24"/>
        <v>-1.7239436619718307</v>
      </c>
      <c r="M16" s="8">
        <f t="shared" si="24"/>
        <v>-1.6901408450705424E-2</v>
      </c>
      <c r="N16" s="8">
        <f t="shared" si="24"/>
        <v>-1.8126760563380295</v>
      </c>
      <c r="O16" s="8">
        <f t="shared" ref="O16:R16" si="25">O14/O15-1</f>
        <v>-1.5830725352112658</v>
      </c>
      <c r="P16" s="8">
        <f t="shared" si="25"/>
        <v>0.98063584612676347</v>
      </c>
      <c r="Q16" s="8">
        <f t="shared" si="25"/>
        <v>-0.58701815266760482</v>
      </c>
      <c r="R16" s="8">
        <f t="shared" si="25"/>
        <v>-1.6375014621227466</v>
      </c>
      <c r="T16" s="8">
        <f>T14/T15-1</f>
        <v>9.5591549295774545</v>
      </c>
      <c r="U16" s="8">
        <f>U14/U15-1</f>
        <v>6.6366197183098681</v>
      </c>
      <c r="V16" s="8">
        <f>V14/V15-1</f>
        <v>-3.8535211267605707</v>
      </c>
      <c r="W16" s="8">
        <f t="shared" ref="W16:AF16" si="26">W14/W15-1</f>
        <v>0.17304369612513959</v>
      </c>
      <c r="X16" s="8">
        <f t="shared" si="26"/>
        <v>1.1131707946735756</v>
      </c>
      <c r="Y16" s="8">
        <f t="shared" si="26"/>
        <v>2.345174252272884</v>
      </c>
      <c r="Z16" s="8">
        <f t="shared" si="26"/>
        <v>3.2628968131731133</v>
      </c>
      <c r="AA16" s="8">
        <f t="shared" si="26"/>
        <v>4.7628018528603135</v>
      </c>
      <c r="AB16" s="8">
        <f t="shared" si="26"/>
        <v>5.665914619217701</v>
      </c>
      <c r="AC16" s="8">
        <f t="shared" si="26"/>
        <v>6.5761533125090397</v>
      </c>
      <c r="AD16" s="8">
        <f t="shared" si="26"/>
        <v>7.5042532618716926</v>
      </c>
      <c r="AE16" s="8">
        <f t="shared" si="26"/>
        <v>7.7455931782213927</v>
      </c>
      <c r="AF16" s="8">
        <f t="shared" si="26"/>
        <v>7.9731088694325951</v>
      </c>
    </row>
    <row r="18" spans="2:35" x14ac:dyDescent="0.3">
      <c r="B18" s="1" t="s">
        <v>36</v>
      </c>
      <c r="G18" s="11">
        <f>G3/C3-1</f>
        <v>1.8016071891471697E-2</v>
      </c>
      <c r="H18" s="11">
        <f t="shared" ref="H18:N18" si="27">H3/D3-1</f>
        <v>1.3069374812529455E-2</v>
      </c>
      <c r="I18" s="11">
        <f t="shared" si="27"/>
        <v>2.503466032877788E-2</v>
      </c>
      <c r="J18" s="11">
        <f t="shared" si="27"/>
        <v>4.7020933977455881E-2</v>
      </c>
      <c r="K18" s="11">
        <f t="shared" si="27"/>
        <v>-0.42961422569282359</v>
      </c>
      <c r="L18" s="11">
        <f t="shared" si="27"/>
        <v>-0.33140174266136535</v>
      </c>
      <c r="M18" s="11">
        <f t="shared" si="27"/>
        <v>-0.18147389573752748</v>
      </c>
      <c r="N18" s="11">
        <f t="shared" si="27"/>
        <v>-0.19647800676714855</v>
      </c>
      <c r="O18" s="11">
        <f t="shared" ref="O18" si="28">O3/K3-1</f>
        <v>0.44999999999999996</v>
      </c>
      <c r="P18" s="11">
        <f t="shared" ref="P18" si="29">P3/L3-1</f>
        <v>0.39999999999999991</v>
      </c>
      <c r="Q18" s="11">
        <f t="shared" ref="Q18" si="30">Q3/M3-1</f>
        <v>5.0000000000000044E-2</v>
      </c>
      <c r="R18" s="11">
        <f t="shared" ref="R18" si="31">R3/N3-1</f>
        <v>0.14999999999999991</v>
      </c>
      <c r="U18" s="11">
        <f>U3/T3-1</f>
        <v>2.6116311821721583E-2</v>
      </c>
      <c r="V18" s="11">
        <f t="shared" ref="V18:AF18" si="32">V3/U3-1</f>
        <v>-0.2801897265112524</v>
      </c>
      <c r="W18" s="11">
        <f t="shared" si="32"/>
        <v>0.232237192608586</v>
      </c>
      <c r="X18" s="11">
        <f t="shared" si="32"/>
        <v>5.0000000000000044E-2</v>
      </c>
      <c r="Y18" s="11">
        <f t="shared" si="32"/>
        <v>5.0000000000000044E-2</v>
      </c>
      <c r="Z18" s="11">
        <f t="shared" si="32"/>
        <v>4.0000000000000036E-2</v>
      </c>
      <c r="AA18" s="11">
        <f t="shared" si="32"/>
        <v>4.0000000000000036E-2</v>
      </c>
      <c r="AB18" s="11">
        <f t="shared" si="32"/>
        <v>3.0000000000000027E-2</v>
      </c>
      <c r="AC18" s="11">
        <f t="shared" si="32"/>
        <v>3.0000000000000027E-2</v>
      </c>
      <c r="AD18" s="11">
        <f t="shared" si="32"/>
        <v>3.0000000000000027E-2</v>
      </c>
      <c r="AE18" s="11">
        <f t="shared" si="32"/>
        <v>2.0000000000000018E-2</v>
      </c>
      <c r="AF18" s="11">
        <f t="shared" si="32"/>
        <v>2.0000000000000018E-2</v>
      </c>
    </row>
    <row r="19" spans="2:35" x14ac:dyDescent="0.3">
      <c r="B19" s="1" t="s">
        <v>37</v>
      </c>
      <c r="C19" s="11">
        <f>C5/C3</f>
        <v>0.55776376047697229</v>
      </c>
      <c r="D19" s="11">
        <f t="shared" ref="D19:N19" si="33">D5/D3</f>
        <v>0.5557698076016625</v>
      </c>
      <c r="E19" s="11">
        <f t="shared" si="33"/>
        <v>0.54062190532778764</v>
      </c>
      <c r="F19" s="11">
        <f t="shared" si="33"/>
        <v>0.54569243156199676</v>
      </c>
      <c r="G19" s="11">
        <f t="shared" si="33"/>
        <v>0.54997241437847477</v>
      </c>
      <c r="H19" s="11">
        <f t="shared" si="33"/>
        <v>0.54496235513069957</v>
      </c>
      <c r="I19" s="11">
        <f t="shared" si="33"/>
        <v>0.54341693395679558</v>
      </c>
      <c r="J19" s="11">
        <f t="shared" si="33"/>
        <v>0.53737311596431858</v>
      </c>
      <c r="K19" s="11">
        <f t="shared" si="33"/>
        <v>0.49546130952380951</v>
      </c>
      <c r="L19" s="11">
        <f t="shared" si="33"/>
        <v>0.55880306193458595</v>
      </c>
      <c r="M19" s="11">
        <f t="shared" si="33"/>
        <v>0.51994712242103769</v>
      </c>
      <c r="N19" s="11">
        <f t="shared" si="33"/>
        <v>0.53895109579864098</v>
      </c>
      <c r="O19" s="11">
        <f t="shared" ref="O19:R19" si="34">O5/O3</f>
        <v>0.55000000000000004</v>
      </c>
      <c r="P19" s="11">
        <f t="shared" si="34"/>
        <v>0.54</v>
      </c>
      <c r="Q19" s="11">
        <f t="shared" si="34"/>
        <v>0.54</v>
      </c>
      <c r="R19" s="11">
        <f t="shared" si="34"/>
        <v>0.55000000000000004</v>
      </c>
      <c r="T19" s="11">
        <f t="shared" ref="T19:AF19" si="35">T5/T3</f>
        <v>0.54969555132134862</v>
      </c>
      <c r="U19" s="11">
        <f t="shared" si="35"/>
        <v>0.54375819961651028</v>
      </c>
      <c r="V19" s="11">
        <f t="shared" si="35"/>
        <v>0.52951237977736021</v>
      </c>
      <c r="W19" s="11">
        <f t="shared" si="35"/>
        <v>0.54495169275877786</v>
      </c>
      <c r="X19" s="11">
        <f t="shared" si="35"/>
        <v>0.55000000000000004</v>
      </c>
      <c r="Y19" s="11">
        <f t="shared" si="35"/>
        <v>0.55000000000000004</v>
      </c>
      <c r="Z19" s="11">
        <f t="shared" si="35"/>
        <v>0.55000000000000004</v>
      </c>
      <c r="AA19" s="11">
        <f t="shared" si="35"/>
        <v>0.55000000000000004</v>
      </c>
      <c r="AB19" s="11">
        <f t="shared" si="35"/>
        <v>0.55000000000000004</v>
      </c>
      <c r="AC19" s="11">
        <f t="shared" si="35"/>
        <v>0.55000000000000004</v>
      </c>
      <c r="AD19" s="11">
        <f t="shared" si="35"/>
        <v>0.55000000000000004</v>
      </c>
      <c r="AE19" s="11">
        <f t="shared" si="35"/>
        <v>0.55000000000000004</v>
      </c>
      <c r="AF19" s="11">
        <f t="shared" si="35"/>
        <v>0.55000000000000004</v>
      </c>
    </row>
    <row r="20" spans="2:35" x14ac:dyDescent="0.3">
      <c r="B20" s="10" t="s">
        <v>38</v>
      </c>
      <c r="C20" s="11">
        <f>C8/C3</f>
        <v>0.10554739479823728</v>
      </c>
      <c r="D20" s="11">
        <f t="shared" ref="D20:N20" si="36">D8/D3</f>
        <v>9.9155846938338177E-2</v>
      </c>
      <c r="E20" s="11">
        <f t="shared" si="36"/>
        <v>0.11182412358882947</v>
      </c>
      <c r="F20" s="11">
        <f t="shared" si="36"/>
        <v>5.3824476650563599E-2</v>
      </c>
      <c r="G20" s="11">
        <f t="shared" si="36"/>
        <v>5.7335653354836001E-2</v>
      </c>
      <c r="H20" s="11">
        <f t="shared" si="36"/>
        <v>0.10565941967684625</v>
      </c>
      <c r="I20" s="11">
        <f t="shared" si="36"/>
        <v>0.1041465393979209</v>
      </c>
      <c r="J20" s="11">
        <f t="shared" si="36"/>
        <v>-3.6911719470932018E-2</v>
      </c>
      <c r="K20" s="11">
        <f t="shared" si="36"/>
        <v>-0.90654761904761916</v>
      </c>
      <c r="L20" s="11">
        <f t="shared" si="36"/>
        <v>-1.0754728917568021E-3</v>
      </c>
      <c r="M20" s="11">
        <f t="shared" si="36"/>
        <v>5.764600349369714E-2</v>
      </c>
      <c r="N20" s="11">
        <f t="shared" si="36"/>
        <v>1.2584936357546133E-2</v>
      </c>
      <c r="O20" s="11">
        <f t="shared" ref="O20:R20" si="37">O8/O3</f>
        <v>-4.7593390804597001E-3</v>
      </c>
      <c r="P20" s="11">
        <f t="shared" si="37"/>
        <v>8.1554826523511384E-2</v>
      </c>
      <c r="Q20" s="11">
        <f t="shared" si="37"/>
        <v>2.9533521732190378E-2</v>
      </c>
      <c r="R20" s="11">
        <f t="shared" si="37"/>
        <v>-1.1632692123648104E-2</v>
      </c>
      <c r="T20" s="11">
        <f t="shared" ref="T20:AF20" si="38">T8/T3</f>
        <v>9.2339077126998514E-2</v>
      </c>
      <c r="U20" s="11">
        <f t="shared" si="38"/>
        <v>6.8987788878797113E-2</v>
      </c>
      <c r="V20" s="11">
        <f t="shared" si="38"/>
        <v>-1.9375823682808584E-2</v>
      </c>
      <c r="W20" s="11">
        <f t="shared" si="38"/>
        <v>2.377165690736947E-2</v>
      </c>
      <c r="X20" s="11">
        <f t="shared" si="38"/>
        <v>2.8819964148591615E-2</v>
      </c>
      <c r="Y20" s="11">
        <f t="shared" si="38"/>
        <v>3.8747202926713707E-2</v>
      </c>
      <c r="Z20" s="11">
        <f t="shared" si="38"/>
        <v>4.3663095206264511E-2</v>
      </c>
      <c r="AA20" s="11">
        <f t="shared" si="38"/>
        <v>5.3400343375374797E-2</v>
      </c>
      <c r="AB20" s="11">
        <f t="shared" si="38"/>
        <v>5.8221699264934298E-2</v>
      </c>
      <c r="AC20" s="11">
        <f t="shared" si="38"/>
        <v>6.299624587401266E-2</v>
      </c>
      <c r="AD20" s="11">
        <f t="shared" si="38"/>
        <v>6.7724437661643516E-2</v>
      </c>
      <c r="AE20" s="11">
        <f t="shared" si="38"/>
        <v>6.7724437661643558E-2</v>
      </c>
      <c r="AF20" s="11">
        <f t="shared" si="38"/>
        <v>6.7724437661643475E-2</v>
      </c>
      <c r="AH20" t="s">
        <v>41</v>
      </c>
      <c r="AI20" s="11">
        <v>-0.01</v>
      </c>
    </row>
    <row r="21" spans="2:35" x14ac:dyDescent="0.3">
      <c r="B21" s="10" t="s">
        <v>39</v>
      </c>
      <c r="G21" s="11">
        <f t="shared" ref="G21:N21" si="39">G6/C6-1</f>
        <v>0.10303893637226968</v>
      </c>
      <c r="H21" s="11">
        <f t="shared" si="39"/>
        <v>7.7461502566495533E-2</v>
      </c>
      <c r="I21" s="11">
        <f t="shared" si="39"/>
        <v>4.6091817098872889E-2</v>
      </c>
      <c r="J21" s="11">
        <f t="shared" si="39"/>
        <v>3.3360723089564503E-2</v>
      </c>
      <c r="K21" s="11">
        <f t="shared" si="39"/>
        <v>-0.1906155832974602</v>
      </c>
      <c r="L21" s="11">
        <f t="shared" si="39"/>
        <v>-0.23585967951494147</v>
      </c>
      <c r="M21" s="11">
        <f t="shared" si="39"/>
        <v>-0.13524877365101606</v>
      </c>
      <c r="N21" s="11">
        <f t="shared" si="39"/>
        <v>-6.6714376590330637E-2</v>
      </c>
      <c r="O21" s="11">
        <f t="shared" ref="O21" si="40">O6/K6-1</f>
        <v>0.14999999999999991</v>
      </c>
      <c r="P21" s="11">
        <f t="shared" ref="P21" si="41">P6/L6-1</f>
        <v>0.14999999999999991</v>
      </c>
      <c r="Q21" s="11">
        <f t="shared" ref="Q21" si="42">Q6/M6-1</f>
        <v>0.14999999999999991</v>
      </c>
      <c r="R21" s="11">
        <f t="shared" ref="R21" si="43">R6/N6-1</f>
        <v>0.14999999999999991</v>
      </c>
      <c r="U21" s="11">
        <f t="shared" ref="U21:AF21" si="44">U6/T6-1</f>
        <v>6.3706912109727343E-2</v>
      </c>
      <c r="V21" s="11">
        <f t="shared" si="44"/>
        <v>-0.15524261961316599</v>
      </c>
      <c r="W21" s="11">
        <f t="shared" si="44"/>
        <v>0.15000000000000013</v>
      </c>
      <c r="X21" s="11">
        <f t="shared" si="44"/>
        <v>5.0000000000000044E-2</v>
      </c>
      <c r="Y21" s="11">
        <f t="shared" si="44"/>
        <v>3.0000000000000027E-2</v>
      </c>
      <c r="Z21" s="11">
        <f t="shared" si="44"/>
        <v>3.0000000000000027E-2</v>
      </c>
      <c r="AA21" s="11">
        <f t="shared" si="44"/>
        <v>2.0000000000000018E-2</v>
      </c>
      <c r="AB21" s="11">
        <f t="shared" si="44"/>
        <v>2.0000000000000018E-2</v>
      </c>
      <c r="AC21" s="11">
        <f t="shared" si="44"/>
        <v>2.0000000000000018E-2</v>
      </c>
      <c r="AD21" s="11">
        <f t="shared" si="44"/>
        <v>2.0000000000000018E-2</v>
      </c>
      <c r="AE21" s="11">
        <f t="shared" si="44"/>
        <v>2.0000000000000018E-2</v>
      </c>
      <c r="AF21" s="11">
        <f t="shared" si="44"/>
        <v>2.0000000000000018E-2</v>
      </c>
      <c r="AH21" t="s">
        <v>42</v>
      </c>
      <c r="AI21" s="11">
        <v>7.0000000000000007E-2</v>
      </c>
    </row>
    <row r="22" spans="2:35" x14ac:dyDescent="0.3">
      <c r="B22" s="10" t="s">
        <v>32</v>
      </c>
      <c r="C22" s="11">
        <f>C12/C11</f>
        <v>0.17137563686892079</v>
      </c>
      <c r="D22" s="11">
        <f t="shared" ref="D22:AF22" si="45">D12/D11</f>
        <v>0.18586258032624839</v>
      </c>
      <c r="E22" s="11">
        <f t="shared" si="45"/>
        <v>4.072756030051404E-2</v>
      </c>
      <c r="F22" s="11">
        <f t="shared" si="45"/>
        <v>-0.55159112825458056</v>
      </c>
      <c r="G22" s="11">
        <f t="shared" si="45"/>
        <v>0.22433460076045614</v>
      </c>
      <c r="H22" s="11">
        <f t="shared" si="45"/>
        <v>0.13330341113105931</v>
      </c>
      <c r="I22" s="11">
        <f t="shared" si="45"/>
        <v>0.13570541994207699</v>
      </c>
      <c r="J22" s="11">
        <f t="shared" si="45"/>
        <v>0.45396825396825397</v>
      </c>
      <c r="K22" s="11">
        <f t="shared" si="45"/>
        <v>0.1148757663762504</v>
      </c>
      <c r="L22" s="11">
        <f t="shared" si="45"/>
        <v>-0.52958579881656842</v>
      </c>
      <c r="M22" s="11">
        <f t="shared" si="45"/>
        <v>0.21557562076749459</v>
      </c>
      <c r="N22" s="11">
        <f t="shared" si="45"/>
        <v>-6.0853658536584714</v>
      </c>
      <c r="O22" s="11">
        <f t="shared" ref="O22:R22" si="46">O12/O11</f>
        <v>4.9999999999999996E-2</v>
      </c>
      <c r="P22" s="11">
        <f t="shared" si="46"/>
        <v>0.05</v>
      </c>
      <c r="Q22" s="11">
        <f t="shared" si="46"/>
        <v>0.2</v>
      </c>
      <c r="R22" s="11">
        <f t="shared" si="46"/>
        <v>0.2</v>
      </c>
      <c r="T22" s="11">
        <f t="shared" si="45"/>
        <v>3.5751161590087788E-2</v>
      </c>
      <c r="U22" s="11">
        <f t="shared" si="45"/>
        <v>5.0799789066619729E-2</v>
      </c>
      <c r="V22" s="11">
        <f t="shared" si="45"/>
        <v>0.21387283236994181</v>
      </c>
      <c r="W22" s="11">
        <f t="shared" si="45"/>
        <v>1.4637969544910843E-2</v>
      </c>
      <c r="X22" s="11">
        <f t="shared" si="45"/>
        <v>9.9999999999999992E-2</v>
      </c>
      <c r="Y22" s="11">
        <f t="shared" si="45"/>
        <v>0.2</v>
      </c>
      <c r="Z22" s="11">
        <f t="shared" si="45"/>
        <v>0.2</v>
      </c>
      <c r="AA22" s="11">
        <f t="shared" si="45"/>
        <v>0.2</v>
      </c>
      <c r="AB22" s="11">
        <f t="shared" si="45"/>
        <v>0.2</v>
      </c>
      <c r="AC22" s="11">
        <f t="shared" si="45"/>
        <v>0.2</v>
      </c>
      <c r="AD22" s="11">
        <f t="shared" si="45"/>
        <v>0.2</v>
      </c>
      <c r="AE22" s="11">
        <f t="shared" si="45"/>
        <v>0.2</v>
      </c>
      <c r="AF22" s="11">
        <f t="shared" si="45"/>
        <v>0.2</v>
      </c>
      <c r="AH22" t="s">
        <v>43</v>
      </c>
      <c r="AI22" s="5">
        <f>NPV(AI21,V14:EU14)</f>
        <v>5975.332119804727</v>
      </c>
    </row>
    <row r="23" spans="2:35" x14ac:dyDescent="0.3">
      <c r="AH23" t="s">
        <v>45</v>
      </c>
      <c r="AI23" s="5">
        <f>Main!D8</f>
        <v>-1903.3999999999996</v>
      </c>
    </row>
    <row r="24" spans="2:35" x14ac:dyDescent="0.3">
      <c r="AH24" t="s">
        <v>44</v>
      </c>
      <c r="AI24" s="5">
        <f>AI22+AI23</f>
        <v>4071.9321198047273</v>
      </c>
    </row>
    <row r="25" spans="2:35" x14ac:dyDescent="0.3">
      <c r="AH25" t="s">
        <v>46</v>
      </c>
      <c r="AI25" s="13">
        <f>AI24/AF15</f>
        <v>57.351156616967991</v>
      </c>
    </row>
    <row r="26" spans="2:35" x14ac:dyDescent="0.3">
      <c r="AH26" t="s">
        <v>47</v>
      </c>
      <c r="AI26" s="13">
        <f>Main!D3</f>
        <v>100.98</v>
      </c>
    </row>
    <row r="27" spans="2:35" x14ac:dyDescent="0.3">
      <c r="AH27" s="1" t="s">
        <v>48</v>
      </c>
      <c r="AI27" s="7">
        <f>AI25/AI26-1</f>
        <v>-0.43205430167391579</v>
      </c>
    </row>
    <row r="28" spans="2:35" x14ac:dyDescent="0.3">
      <c r="AH28" t="s">
        <v>49</v>
      </c>
      <c r="AI28" s="6" t="s">
        <v>54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2021-01-09T09:49:26Z</dcterms:created>
  <dcterms:modified xsi:type="dcterms:W3CDTF">2021-04-03T17:10:42Z</dcterms:modified>
</cp:coreProperties>
</file>