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53E600F-85C9-4D14-A653-ECF6EFB243DD}" xr6:coauthVersionLast="46" xr6:coauthVersionMax="46" xr10:uidLastSave="{00000000-0000-0000-0000-000000000000}"/>
  <bookViews>
    <workbookView xWindow="-108" yWindow="-108" windowWidth="23256" windowHeight="12576" xr2:uid="{1047D535-7490-469A-8680-73C9CE61DCF1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V3" i="2"/>
  <c r="U3" i="2"/>
  <c r="Z6" i="2"/>
  <c r="AA6" i="2" s="1"/>
  <c r="X6" i="2"/>
  <c r="W6" i="2"/>
  <c r="V6" i="2"/>
  <c r="U6" i="2"/>
  <c r="U5" i="2"/>
  <c r="L5" i="2"/>
  <c r="L4" i="2" s="1"/>
  <c r="K3" i="2"/>
  <c r="T3" i="2" s="1"/>
  <c r="K6" i="2"/>
  <c r="K18" i="2" s="1"/>
  <c r="T8" i="2"/>
  <c r="K15" i="2"/>
  <c r="K5" i="2"/>
  <c r="L18" i="2"/>
  <c r="L16" i="2"/>
  <c r="L15" i="2"/>
  <c r="L6" i="2"/>
  <c r="L3" i="2"/>
  <c r="J5" i="2"/>
  <c r="J16" i="2" s="1"/>
  <c r="D7" i="1"/>
  <c r="D8" i="1" s="1"/>
  <c r="AG20" i="2" s="1"/>
  <c r="S6" i="2"/>
  <c r="AG23" i="2"/>
  <c r="R18" i="2"/>
  <c r="R15" i="2"/>
  <c r="Q15" i="2"/>
  <c r="P15" i="2"/>
  <c r="O15" i="2"/>
  <c r="O16" i="2"/>
  <c r="I18" i="2"/>
  <c r="G18" i="2"/>
  <c r="I15" i="2"/>
  <c r="G15" i="2"/>
  <c r="E19" i="2"/>
  <c r="E18" i="2"/>
  <c r="E15" i="2"/>
  <c r="H10" i="2"/>
  <c r="H8" i="2"/>
  <c r="H6" i="2"/>
  <c r="J18" i="2" s="1"/>
  <c r="H4" i="2"/>
  <c r="H3" i="2"/>
  <c r="J15" i="2" s="1"/>
  <c r="F10" i="2"/>
  <c r="F8" i="2"/>
  <c r="F6" i="2"/>
  <c r="F4" i="2"/>
  <c r="F3" i="2"/>
  <c r="F15" i="2" s="1"/>
  <c r="D10" i="2"/>
  <c r="D8" i="2"/>
  <c r="D6" i="2"/>
  <c r="D4" i="2"/>
  <c r="D3" i="2"/>
  <c r="D5" i="2" s="1"/>
  <c r="D16" i="2" s="1"/>
  <c r="C5" i="2"/>
  <c r="C7" i="2" s="1"/>
  <c r="C9" i="2" s="1"/>
  <c r="C11" i="2" s="1"/>
  <c r="C13" i="2" s="1"/>
  <c r="E5" i="2"/>
  <c r="E7" i="2" s="1"/>
  <c r="E9" i="2" s="1"/>
  <c r="E11" i="2" s="1"/>
  <c r="E13" i="2" s="1"/>
  <c r="S8" i="2"/>
  <c r="S3" i="2"/>
  <c r="N6" i="2"/>
  <c r="O18" i="2" s="1"/>
  <c r="N5" i="2"/>
  <c r="N7" i="2" s="1"/>
  <c r="N9" i="2" s="1"/>
  <c r="N11" i="2" s="1"/>
  <c r="N13" i="2" s="1"/>
  <c r="O6" i="2"/>
  <c r="O5" i="2"/>
  <c r="P6" i="2"/>
  <c r="Q18" i="2" s="1"/>
  <c r="P5" i="2"/>
  <c r="P16" i="2" s="1"/>
  <c r="Q5" i="2"/>
  <c r="Q7" i="2" s="1"/>
  <c r="Q9" i="2" s="1"/>
  <c r="Q11" i="2" s="1"/>
  <c r="Q13" i="2" s="1"/>
  <c r="R5" i="2"/>
  <c r="R7" i="2" s="1"/>
  <c r="R9" i="2" s="1"/>
  <c r="R11" i="2" s="1"/>
  <c r="R13" i="2" s="1"/>
  <c r="G5" i="2"/>
  <c r="G7" i="2" s="1"/>
  <c r="G9" i="2" s="1"/>
  <c r="G11" i="2" s="1"/>
  <c r="G13" i="2" s="1"/>
  <c r="I5" i="2"/>
  <c r="I7" i="2" s="1"/>
  <c r="I9" i="2" s="1"/>
  <c r="I11" i="2" s="1"/>
  <c r="I13" i="2" s="1"/>
  <c r="D5" i="1"/>
  <c r="F3" i="1"/>
  <c r="V5" i="2" l="1"/>
  <c r="L7" i="2"/>
  <c r="T6" i="2"/>
  <c r="K4" i="2"/>
  <c r="T4" i="2" s="1"/>
  <c r="T5" i="2" s="1"/>
  <c r="T16" i="2" s="1"/>
  <c r="K16" i="2"/>
  <c r="K7" i="2"/>
  <c r="E17" i="2"/>
  <c r="C17" i="2"/>
  <c r="Q16" i="2"/>
  <c r="C19" i="2"/>
  <c r="R17" i="2"/>
  <c r="G16" i="2"/>
  <c r="F18" i="2"/>
  <c r="H18" i="2"/>
  <c r="R16" i="2"/>
  <c r="P18" i="2"/>
  <c r="H15" i="2"/>
  <c r="G17" i="2"/>
  <c r="G19" i="2"/>
  <c r="N17" i="2"/>
  <c r="Q19" i="2"/>
  <c r="I16" i="2"/>
  <c r="R19" i="2"/>
  <c r="N19" i="2"/>
  <c r="I17" i="2"/>
  <c r="I19" i="2"/>
  <c r="C16" i="2"/>
  <c r="E16" i="2"/>
  <c r="N16" i="2"/>
  <c r="Q17" i="2"/>
  <c r="U16" i="2"/>
  <c r="S4" i="2"/>
  <c r="S5" i="2" s="1"/>
  <c r="S16" i="2" s="1"/>
  <c r="D9" i="1"/>
  <c r="S18" i="2"/>
  <c r="J7" i="2"/>
  <c r="J9" i="2" s="1"/>
  <c r="J11" i="2" s="1"/>
  <c r="J13" i="2" s="1"/>
  <c r="T15" i="2"/>
  <c r="S15" i="2"/>
  <c r="H5" i="2"/>
  <c r="F5" i="2"/>
  <c r="D7" i="2"/>
  <c r="O7" i="2"/>
  <c r="P7" i="2"/>
  <c r="X3" i="2" l="1"/>
  <c r="W5" i="2"/>
  <c r="L9" i="2"/>
  <c r="L17" i="2"/>
  <c r="K17" i="2"/>
  <c r="K9" i="2"/>
  <c r="D9" i="2"/>
  <c r="D17" i="2"/>
  <c r="F7" i="2"/>
  <c r="F16" i="2"/>
  <c r="P9" i="2"/>
  <c r="P17" i="2"/>
  <c r="O9" i="2"/>
  <c r="O17" i="2"/>
  <c r="H7" i="2"/>
  <c r="H16" i="2"/>
  <c r="T18" i="2"/>
  <c r="U15" i="2"/>
  <c r="J17" i="2"/>
  <c r="U4" i="2"/>
  <c r="T7" i="2"/>
  <c r="J19" i="2"/>
  <c r="S10" i="2"/>
  <c r="S7" i="2"/>
  <c r="Y3" i="2" l="1"/>
  <c r="X5" i="2"/>
  <c r="L10" i="2"/>
  <c r="L19" i="2" s="1"/>
  <c r="K10" i="2"/>
  <c r="K11" i="2" s="1"/>
  <c r="K13" i="2" s="1"/>
  <c r="D11" i="2"/>
  <c r="D13" i="2" s="1"/>
  <c r="D19" i="2"/>
  <c r="O11" i="2"/>
  <c r="O13" i="2" s="1"/>
  <c r="O19" i="2"/>
  <c r="P11" i="2"/>
  <c r="P13" i="2" s="1"/>
  <c r="P19" i="2"/>
  <c r="H9" i="2"/>
  <c r="H17" i="2"/>
  <c r="F9" i="2"/>
  <c r="F17" i="2"/>
  <c r="V15" i="2"/>
  <c r="T17" i="2"/>
  <c r="T9" i="2"/>
  <c r="U7" i="2"/>
  <c r="U18" i="2"/>
  <c r="S9" i="2"/>
  <c r="S17" i="2"/>
  <c r="Z3" i="2" l="1"/>
  <c r="Y5" i="2"/>
  <c r="L11" i="2"/>
  <c r="L13" i="2" s="1"/>
  <c r="K19" i="2"/>
  <c r="T10" i="2"/>
  <c r="T19" i="2" s="1"/>
  <c r="F11" i="2"/>
  <c r="F13" i="2" s="1"/>
  <c r="F19" i="2"/>
  <c r="H11" i="2"/>
  <c r="H13" i="2" s="1"/>
  <c r="H19" i="2"/>
  <c r="W15" i="2"/>
  <c r="V4" i="2"/>
  <c r="V16" i="2"/>
  <c r="Y6" i="2"/>
  <c r="V7" i="2"/>
  <c r="V18" i="2"/>
  <c r="U9" i="2"/>
  <c r="U17" i="2"/>
  <c r="S11" i="2"/>
  <c r="S13" i="2" s="1"/>
  <c r="S19" i="2"/>
  <c r="AA3" i="2" l="1"/>
  <c r="Z5" i="2"/>
  <c r="W4" i="2"/>
  <c r="W16" i="2"/>
  <c r="X16" i="2"/>
  <c r="X15" i="2"/>
  <c r="X4" i="2"/>
  <c r="T11" i="2"/>
  <c r="T13" i="2" s="1"/>
  <c r="W18" i="2"/>
  <c r="W7" i="2"/>
  <c r="U10" i="2"/>
  <c r="U19" i="2" s="1"/>
  <c r="V17" i="2"/>
  <c r="V9" i="2"/>
  <c r="AB3" i="2" l="1"/>
  <c r="AA5" i="2"/>
  <c r="Y16" i="2"/>
  <c r="Y15" i="2"/>
  <c r="W17" i="2"/>
  <c r="W9" i="2"/>
  <c r="X18" i="2"/>
  <c r="X7" i="2"/>
  <c r="V10" i="2"/>
  <c r="V19" i="2" s="1"/>
  <c r="U11" i="2"/>
  <c r="AC3" i="2" l="1"/>
  <c r="AB5" i="2"/>
  <c r="U13" i="2"/>
  <c r="Y4" i="2"/>
  <c r="Z15" i="2"/>
  <c r="Z16" i="2"/>
  <c r="V11" i="2"/>
  <c r="V13" i="2" s="1"/>
  <c r="X9" i="2"/>
  <c r="X17" i="2"/>
  <c r="Y18" i="2"/>
  <c r="Y7" i="2"/>
  <c r="W10" i="2"/>
  <c r="W19" i="2" s="1"/>
  <c r="AD3" i="2" l="1"/>
  <c r="AC5" i="2"/>
  <c r="Z4" i="2"/>
  <c r="AA16" i="2"/>
  <c r="AA15" i="2"/>
  <c r="W11" i="2"/>
  <c r="Z18" i="2"/>
  <c r="Z7" i="2"/>
  <c r="Y9" i="2"/>
  <c r="Y17" i="2"/>
  <c r="X10" i="2"/>
  <c r="X19" i="2" s="1"/>
  <c r="AD15" i="2" l="1"/>
  <c r="AD5" i="2"/>
  <c r="AD16" i="2" s="1"/>
  <c r="W13" i="2"/>
  <c r="X11" i="2"/>
  <c r="X13" i="2" s="1"/>
  <c r="AA4" i="2"/>
  <c r="AB16" i="2"/>
  <c r="AB15" i="2"/>
  <c r="Y10" i="2"/>
  <c r="Y19" i="2" s="1"/>
  <c r="Z17" i="2"/>
  <c r="Z9" i="2"/>
  <c r="AB6" i="2"/>
  <c r="AA18" i="2"/>
  <c r="AA7" i="2"/>
  <c r="AD4" i="2" l="1"/>
  <c r="AB4" i="2"/>
  <c r="AC16" i="2"/>
  <c r="AC15" i="2"/>
  <c r="Z10" i="2"/>
  <c r="Z19" i="2" s="1"/>
  <c r="AA9" i="2"/>
  <c r="AA17" i="2"/>
  <c r="AC6" i="2"/>
  <c r="AD6" i="2" s="1"/>
  <c r="AB18" i="2"/>
  <c r="AB7" i="2"/>
  <c r="Y11" i="2"/>
  <c r="Y13" i="2" s="1"/>
  <c r="AD18" i="2" l="1"/>
  <c r="AD7" i="2"/>
  <c r="AC4" i="2"/>
  <c r="Z11" i="2"/>
  <c r="Z13" i="2" s="1"/>
  <c r="AB17" i="2"/>
  <c r="AB9" i="2"/>
  <c r="AC18" i="2"/>
  <c r="AC7" i="2"/>
  <c r="AA10" i="2"/>
  <c r="AA19" i="2" s="1"/>
  <c r="AD17" i="2" l="1"/>
  <c r="AD9" i="2"/>
  <c r="AA11" i="2"/>
  <c r="AB10" i="2"/>
  <c r="AB19" i="2" s="1"/>
  <c r="AC17" i="2"/>
  <c r="AC9" i="2"/>
  <c r="AD10" i="2" l="1"/>
  <c r="AD19" i="2" s="1"/>
  <c r="AA13" i="2"/>
  <c r="AB11" i="2"/>
  <c r="AB13" i="2" s="1"/>
  <c r="AC10" i="2"/>
  <c r="AC19" i="2" s="1"/>
  <c r="AD11" i="2" l="1"/>
  <c r="AD13" i="2" s="1"/>
  <c r="AC11" i="2"/>
  <c r="AC13" i="2" l="1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AG19" i="2" s="1"/>
  <c r="AG21" i="2" l="1"/>
  <c r="AG22" i="2" s="1"/>
  <c r="AG24" i="2" s="1"/>
</calcChain>
</file>

<file path=xl/sharedStrings.xml><?xml version="1.0" encoding="utf-8"?>
<sst xmlns="http://schemas.openxmlformats.org/spreadsheetml/2006/main" count="51" uniqueCount="46">
  <si>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</si>
  <si>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</si>
  <si>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</si>
  <si>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</si>
  <si>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</si>
  <si>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</si>
  <si>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</si>
  <si>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</si>
  <si>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</si>
  <si>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</si>
  <si>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H120</t>
  </si>
  <si>
    <t>Revenue</t>
  </si>
  <si>
    <t>H118</t>
  </si>
  <si>
    <t>H218</t>
  </si>
  <si>
    <t>H119</t>
  </si>
  <si>
    <t>H219</t>
  </si>
  <si>
    <t>H220</t>
  </si>
  <si>
    <t>Cost of sales</t>
  </si>
  <si>
    <t>Gross profit</t>
  </si>
  <si>
    <t>H117</t>
  </si>
  <si>
    <t>H217</t>
  </si>
  <si>
    <t>Operating expenses</t>
  </si>
  <si>
    <t>Operating profit</t>
  </si>
  <si>
    <t>Financial expense</t>
  </si>
  <si>
    <t>Pretax profit</t>
  </si>
  <si>
    <t>Taxes</t>
  </si>
  <si>
    <t>Net profit</t>
  </si>
  <si>
    <t>EPS</t>
  </si>
  <si>
    <t>Revenue y/y</t>
  </si>
  <si>
    <t>Gross Margin</t>
  </si>
  <si>
    <t>Operating Margin</t>
  </si>
  <si>
    <t>Operating y/y</t>
  </si>
  <si>
    <t>Maturity</t>
  </si>
  <si>
    <t>Discount rate</t>
  </si>
  <si>
    <t>NPV</t>
  </si>
  <si>
    <t>Value</t>
  </si>
  <si>
    <t>Net cash</t>
  </si>
  <si>
    <t>Per share</t>
  </si>
  <si>
    <t>Current price</t>
  </si>
  <si>
    <t>Variance</t>
  </si>
  <si>
    <t>Consensus</t>
  </si>
  <si>
    <t>Fairly valued</t>
  </si>
  <si>
    <t>QXT</t>
  </si>
  <si>
    <t>H121</t>
  </si>
  <si>
    <t>H221</t>
  </si>
  <si>
    <t>August?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</si>
</sst>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3" fontId="0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0</xdr:rowOff>
    </xdr:from>
    <xdr:to>
      <xdr:col>10</xdr:col>
      <xdr:colOff>22860</xdr:colOff>
      <xdr:row>33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0D3A5C-9E94-4D6D-BB54-9D689E3AD8DE}"/>
            </a:ext>
          </a:extLst>
        </xdr:cNvPr>
        <xdr:cNvCxnSpPr/>
      </xdr:nvCxnSpPr>
      <xdr:spPr>
        <a:xfrm>
          <a:off x="667512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</xdr:colOff>
      <xdr:row>0</xdr:row>
      <xdr:rowOff>0</xdr:rowOff>
    </xdr:from>
    <xdr:to>
      <xdr:col>19</xdr:col>
      <xdr:colOff>30480</xdr:colOff>
      <xdr:row>33</xdr:row>
      <xdr:rowOff>99060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3110ED5-15D2-4F18-88C1-65BDAD5E824C}"/>
            </a:ext>
          </a:extLst>
        </xdr:cNvPr>
        <xdr:cNvCxnSpPr/>
      </xdr:nvCxnSpPr>
      <xdr:spPr>
        <a:xfrm>
          <a:off x="934212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98F7-8685-4E94-BBCC-21A0FCC563C6}">
  <dimension ref="B2:G9"/>
  <sheetViews>
    <sheetView tabSelected="1" workbookViewId="0">
      <selection activeCell="G4" sqref="G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7</v>
      </c>
      <c r="F2" s="3" t="s">
        <v>8</v>
      </c>
      <c r="G2" s="3" t="s">
        <v>9</v>
      </c>
    </row>
    <row r="3" spans="2:7" x14ac:dyDescent="0.3">
      <c r="B3" s="1" t="s">
        <v>42</v>
      </c>
      <c r="C3" t="s">
        <v>0</v>
      </c>
      <c r="D3" s="5">
        <v>1.35</v>
      </c>
      <c r="E3" s="4">
        <v>44301</v>
      </c>
      <c r="F3" s="4">
        <f ca="1">TODAY()</f>
        <v>44328</v>
      </c>
      <c r="G3" s="4" t="s">
        <v>45</v>
      </c>
    </row>
    <row r="4" spans="2:7" x14ac:dyDescent="0.3">
      <c r="C4" t="s">
        <v>1</v>
      </c>
      <c r="D4" s="6">
        <v>66.400000000000006</v>
      </c>
      <c r="E4" s="3" t="s">
        <v>16</v>
      </c>
    </row>
    <row r="5" spans="2:7" x14ac:dyDescent="0.3">
      <c r="C5" t="s">
        <v>2</v>
      </c>
      <c r="D5" s="6">
        <f>D3*D4</f>
        <v>89.640000000000015</v>
      </c>
    </row>
    <row r="6" spans="2:7" x14ac:dyDescent="0.3">
      <c r="C6" t="s">
        <v>3</v>
      </c>
      <c r="D6" s="6">
        <v>18.8</v>
      </c>
      <c r="E6" s="3" t="s">
        <v>16</v>
      </c>
    </row>
    <row r="7" spans="2:7" x14ac:dyDescent="0.3">
      <c r="C7" t="s">
        <v>4</v>
      </c>
      <c r="D7" s="6">
        <f>0.7+0.7</f>
        <v>1.4</v>
      </c>
      <c r="E7" s="3" t="s">
        <v>16</v>
      </c>
    </row>
    <row r="8" spans="2:7" x14ac:dyDescent="0.3">
      <c r="C8" t="s">
        <v>5</v>
      </c>
      <c r="D8" s="6">
        <f>D6-D7</f>
        <v>17.400000000000002</v>
      </c>
    </row>
    <row r="9" spans="2:7" x14ac:dyDescent="0.3">
      <c r="C9" t="s">
        <v>6</v>
      </c>
      <c r="D9" s="6">
        <f>D5-D8</f>
        <v>72.240000000000009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EA53-750B-4EC1-8D0D-7A1755CD8542}">
  <dimension ref="B2:EL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G3" sqref="AG3"/>
    </sheetView>
  </sheetViews>
  <sheetFormatPr defaultRowHeight="14.4" x14ac:dyDescent="0.3"/>
  <cols>
    <col min="2" max="2" width="17" bestFit="1" customWidth="1"/>
    <col min="31" max="31" width="11.88671875" bestFit="1" customWidth="1"/>
    <col min="32" max="33" width="12" bestFit="1" customWidth="1"/>
  </cols>
  <sheetData>
    <row r="2" spans="2:142" x14ac:dyDescent="0.3">
      <c r="C2" s="7" t="s">
        <v>19</v>
      </c>
      <c r="D2" s="7" t="s">
        <v>20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10</v>
      </c>
      <c r="J2" s="7" t="s">
        <v>16</v>
      </c>
      <c r="K2" s="7" t="s">
        <v>43</v>
      </c>
      <c r="L2" s="7" t="s">
        <v>44</v>
      </c>
      <c r="M2" s="7"/>
      <c r="N2" s="7">
        <v>2015</v>
      </c>
      <c r="O2">
        <v>2016</v>
      </c>
      <c r="P2" s="7">
        <v>2017</v>
      </c>
      <c r="Q2">
        <v>2018</v>
      </c>
      <c r="R2">
        <v>2019</v>
      </c>
      <c r="S2" s="7">
        <v>2020</v>
      </c>
      <c r="T2">
        <v>2021</v>
      </c>
      <c r="U2">
        <v>2022</v>
      </c>
      <c r="V2" s="7">
        <v>2023</v>
      </c>
      <c r="W2">
        <v>2024</v>
      </c>
      <c r="X2">
        <v>2025</v>
      </c>
      <c r="Y2" s="7">
        <v>2026</v>
      </c>
      <c r="Z2">
        <v>2027</v>
      </c>
      <c r="AA2">
        <v>2028</v>
      </c>
      <c r="AB2" s="7">
        <v>2029</v>
      </c>
      <c r="AC2">
        <v>2030</v>
      </c>
      <c r="AD2">
        <v>2031</v>
      </c>
    </row>
    <row r="3" spans="2:142" s="1" customFormat="1" x14ac:dyDescent="0.3">
      <c r="B3" s="1" t="s">
        <v>11</v>
      </c>
      <c r="C3" s="9">
        <v>56.9</v>
      </c>
      <c r="D3" s="9">
        <f>P3-C3</f>
        <v>52.300000000000004</v>
      </c>
      <c r="E3" s="9">
        <v>50.3</v>
      </c>
      <c r="F3" s="9">
        <f>Q3-E3</f>
        <v>64.900000000000006</v>
      </c>
      <c r="G3" s="9">
        <v>41.9</v>
      </c>
      <c r="H3" s="9">
        <f>R3-G3</f>
        <v>50.4</v>
      </c>
      <c r="I3" s="9">
        <v>27.9</v>
      </c>
      <c r="J3" s="9">
        <v>63.8</v>
      </c>
      <c r="K3" s="9">
        <f>I3*1.35</f>
        <v>37.664999999999999</v>
      </c>
      <c r="L3" s="9">
        <f>J3*1.18</f>
        <v>75.283999999999992</v>
      </c>
      <c r="N3" s="9">
        <v>41.8</v>
      </c>
      <c r="O3" s="9">
        <v>90.4</v>
      </c>
      <c r="P3" s="9">
        <v>109.2</v>
      </c>
      <c r="Q3" s="9">
        <v>115.2</v>
      </c>
      <c r="R3" s="9">
        <v>92.3</v>
      </c>
      <c r="S3" s="9">
        <f>SUM(I3:J3)</f>
        <v>91.699999999999989</v>
      </c>
      <c r="T3" s="9">
        <f>SUM(K3:L3)</f>
        <v>112.94899999999998</v>
      </c>
      <c r="U3" s="9">
        <f>T3*1.15</f>
        <v>129.89134999999996</v>
      </c>
      <c r="V3" s="9">
        <f>U3*1.1</f>
        <v>142.88048499999996</v>
      </c>
      <c r="W3" s="9">
        <f>V3*1.08</f>
        <v>154.31092379999998</v>
      </c>
      <c r="X3" s="9">
        <f>W3*1.05</f>
        <v>162.02646998999998</v>
      </c>
      <c r="Y3" s="9">
        <f>X3*1.04</f>
        <v>168.50752878959997</v>
      </c>
      <c r="Z3" s="9">
        <f t="shared" ref="Z3" si="0">Y3*1.03</f>
        <v>173.56275465328798</v>
      </c>
      <c r="AA3" s="9">
        <f t="shared" ref="AA3" si="1">Z3*1.03</f>
        <v>178.76963729288661</v>
      </c>
      <c r="AB3" s="9">
        <f t="shared" ref="AB3" si="2">AA3*1.03</f>
        <v>184.13272641167322</v>
      </c>
      <c r="AC3" s="9">
        <f t="shared" ref="AC3:AD3" si="3">AB3*1.02</f>
        <v>187.81538093990667</v>
      </c>
      <c r="AD3" s="9">
        <f t="shared" si="3"/>
        <v>191.57168855870481</v>
      </c>
    </row>
    <row r="4" spans="2:142" x14ac:dyDescent="0.3">
      <c r="B4" t="s">
        <v>17</v>
      </c>
      <c r="C4" s="6">
        <v>37.4</v>
      </c>
      <c r="D4" s="10">
        <f>P4-C4</f>
        <v>34.9</v>
      </c>
      <c r="E4" s="6">
        <v>32.299999999999997</v>
      </c>
      <c r="F4" s="10">
        <f>Q4-E4</f>
        <v>43.100000000000009</v>
      </c>
      <c r="G4" s="6">
        <v>26.7</v>
      </c>
      <c r="H4" s="10">
        <f>R4-G4</f>
        <v>31.3</v>
      </c>
      <c r="I4" s="6">
        <v>17.899999999999999</v>
      </c>
      <c r="J4" s="6">
        <v>43.7</v>
      </c>
      <c r="K4" s="6">
        <f>K3-K5</f>
        <v>25.235549999999996</v>
      </c>
      <c r="L4" s="6">
        <f>L3-L5</f>
        <v>49.687439999999995</v>
      </c>
      <c r="N4" s="6">
        <v>24.5</v>
      </c>
      <c r="O4" s="6">
        <v>58.3</v>
      </c>
      <c r="P4" s="6">
        <v>72.3</v>
      </c>
      <c r="Q4" s="6">
        <v>75.400000000000006</v>
      </c>
      <c r="R4" s="6">
        <v>58</v>
      </c>
      <c r="S4" s="10">
        <f>SUM(I4:J4)</f>
        <v>61.6</v>
      </c>
      <c r="T4" s="10">
        <f>SUM(K4:L4)</f>
        <v>74.922989999999999</v>
      </c>
      <c r="U4" s="6">
        <f t="shared" ref="U4:AC4" si="4">U3-U5</f>
        <v>84.429377499999987</v>
      </c>
      <c r="V4" s="6">
        <f t="shared" si="4"/>
        <v>92.872315249999986</v>
      </c>
      <c r="W4" s="6">
        <f t="shared" si="4"/>
        <v>100.30210047</v>
      </c>
      <c r="X4" s="6">
        <f t="shared" si="4"/>
        <v>105.31720549349998</v>
      </c>
      <c r="Y4" s="6">
        <f t="shared" si="4"/>
        <v>109.52989371323999</v>
      </c>
      <c r="Z4" s="6">
        <f t="shared" si="4"/>
        <v>112.81579052463719</v>
      </c>
      <c r="AA4" s="6">
        <f t="shared" si="4"/>
        <v>116.2002642403763</v>
      </c>
      <c r="AB4" s="6">
        <f t="shared" si="4"/>
        <v>119.68627216758759</v>
      </c>
      <c r="AC4" s="6">
        <f t="shared" si="4"/>
        <v>122.07999761093934</v>
      </c>
      <c r="AD4" s="6">
        <f t="shared" ref="AD4" si="5">AD3-AD5</f>
        <v>124.52159756315812</v>
      </c>
    </row>
    <row r="5" spans="2:142" s="1" customFormat="1" x14ac:dyDescent="0.3">
      <c r="B5" s="1" t="s">
        <v>18</v>
      </c>
      <c r="C5" s="9">
        <f t="shared" ref="C5:J5" si="6">C3-C4</f>
        <v>19.5</v>
      </c>
      <c r="D5" s="9">
        <f t="shared" si="6"/>
        <v>17.400000000000006</v>
      </c>
      <c r="E5" s="9">
        <f t="shared" si="6"/>
        <v>18</v>
      </c>
      <c r="F5" s="9">
        <f t="shared" si="6"/>
        <v>21.799999999999997</v>
      </c>
      <c r="G5" s="9">
        <f t="shared" si="6"/>
        <v>15.2</v>
      </c>
      <c r="H5" s="9">
        <f t="shared" si="6"/>
        <v>19.099999999999998</v>
      </c>
      <c r="I5" s="9">
        <f t="shared" si="6"/>
        <v>10</v>
      </c>
      <c r="J5" s="9">
        <f t="shared" si="6"/>
        <v>20.099999999999994</v>
      </c>
      <c r="K5" s="9">
        <f>K3*0.33</f>
        <v>12.429450000000001</v>
      </c>
      <c r="L5" s="9">
        <f>L3*0.34</f>
        <v>25.59656</v>
      </c>
      <c r="N5" s="9">
        <f t="shared" ref="N5:T5" si="7">N3-N4</f>
        <v>17.299999999999997</v>
      </c>
      <c r="O5" s="9">
        <f t="shared" si="7"/>
        <v>32.100000000000009</v>
      </c>
      <c r="P5" s="9">
        <f t="shared" si="7"/>
        <v>36.900000000000006</v>
      </c>
      <c r="Q5" s="9">
        <f t="shared" si="7"/>
        <v>39.799999999999997</v>
      </c>
      <c r="R5" s="9">
        <f t="shared" si="7"/>
        <v>34.299999999999997</v>
      </c>
      <c r="S5" s="9">
        <f t="shared" si="7"/>
        <v>30.099999999999987</v>
      </c>
      <c r="T5" s="9">
        <f t="shared" si="7"/>
        <v>38.026009999999985</v>
      </c>
      <c r="U5" s="9">
        <f>U3*0.35</f>
        <v>45.46197249999998</v>
      </c>
      <c r="V5" s="9">
        <f t="shared" ref="V5:AD5" si="8">V3*0.35</f>
        <v>50.008169749999986</v>
      </c>
      <c r="W5" s="9">
        <f t="shared" si="8"/>
        <v>54.008823329999991</v>
      </c>
      <c r="X5" s="9">
        <f t="shared" si="8"/>
        <v>56.709264496499991</v>
      </c>
      <c r="Y5" s="9">
        <f t="shared" si="8"/>
        <v>58.977635076359988</v>
      </c>
      <c r="Z5" s="9">
        <f t="shared" si="8"/>
        <v>60.746964128650788</v>
      </c>
      <c r="AA5" s="9">
        <f t="shared" si="8"/>
        <v>62.569373052510308</v>
      </c>
      <c r="AB5" s="9">
        <f t="shared" si="8"/>
        <v>64.446454244085629</v>
      </c>
      <c r="AC5" s="9">
        <f t="shared" si="8"/>
        <v>65.73538332896733</v>
      </c>
      <c r="AD5" s="9">
        <f t="shared" si="8"/>
        <v>67.050090995546682</v>
      </c>
    </row>
    <row r="6" spans="2:142" x14ac:dyDescent="0.3">
      <c r="B6" t="s">
        <v>21</v>
      </c>
      <c r="C6" s="6">
        <v>10.6</v>
      </c>
      <c r="D6" s="10">
        <f>P6-C6</f>
        <v>10.000000000000002</v>
      </c>
      <c r="E6" s="6">
        <v>11.7</v>
      </c>
      <c r="F6" s="10">
        <f>Q6-E6</f>
        <v>13.5</v>
      </c>
      <c r="G6" s="6">
        <v>12.3</v>
      </c>
      <c r="H6" s="10">
        <f>R6-G6</f>
        <v>12.399999999999999</v>
      </c>
      <c r="I6" s="6">
        <v>13</v>
      </c>
      <c r="J6" s="6">
        <v>21.9</v>
      </c>
      <c r="K6" s="6">
        <f>I6*1.3</f>
        <v>16.900000000000002</v>
      </c>
      <c r="L6" s="6">
        <f>J6*1.1</f>
        <v>24.09</v>
      </c>
      <c r="N6" s="6">
        <f>4+5.5</f>
        <v>9.5</v>
      </c>
      <c r="O6" s="6">
        <f>6.9+13.2</f>
        <v>20.100000000000001</v>
      </c>
      <c r="P6" s="6">
        <f>7.8+12.8</f>
        <v>20.6</v>
      </c>
      <c r="Q6" s="6">
        <v>25.2</v>
      </c>
      <c r="R6" s="6">
        <v>24.7</v>
      </c>
      <c r="S6" s="10">
        <f>SUM(I6:J6)</f>
        <v>34.9</v>
      </c>
      <c r="T6" s="10">
        <f>SUM(K6:L6)</f>
        <v>40.99</v>
      </c>
      <c r="U6" s="6">
        <f>T6*1.06</f>
        <v>43.449400000000004</v>
      </c>
      <c r="V6" s="6">
        <f>U6*1.04</f>
        <v>45.187376000000008</v>
      </c>
      <c r="W6" s="6">
        <f>V6*1.03</f>
        <v>46.542997280000009</v>
      </c>
      <c r="X6" s="6">
        <f>W6*1.03</f>
        <v>47.93928719840001</v>
      </c>
      <c r="Y6" s="6">
        <f t="shared" ref="Y6" si="9">X6*1.02</f>
        <v>48.89807294236801</v>
      </c>
      <c r="Z6" s="6">
        <f t="shared" ref="Z6" si="10">Y6*1.02</f>
        <v>49.876034401215371</v>
      </c>
      <c r="AA6" s="6">
        <f t="shared" ref="AA6" si="11">Z6*1.02</f>
        <v>50.87355508923968</v>
      </c>
      <c r="AB6" s="6">
        <f t="shared" ref="AB6:AD6" si="12">AA6*1.01</f>
        <v>51.382290640132076</v>
      </c>
      <c r="AC6" s="6">
        <f t="shared" si="12"/>
        <v>51.8961135465334</v>
      </c>
      <c r="AD6" s="6">
        <f t="shared" si="12"/>
        <v>52.415074681998732</v>
      </c>
    </row>
    <row r="7" spans="2:142" s="1" customFormat="1" x14ac:dyDescent="0.3">
      <c r="B7" s="1" t="s">
        <v>22</v>
      </c>
      <c r="C7" s="9">
        <f t="shared" ref="C7:L7" si="13">C5-C6</f>
        <v>8.9</v>
      </c>
      <c r="D7" s="9">
        <f t="shared" si="13"/>
        <v>7.4000000000000039</v>
      </c>
      <c r="E7" s="9">
        <f t="shared" si="13"/>
        <v>6.3000000000000007</v>
      </c>
      <c r="F7" s="9">
        <f t="shared" si="13"/>
        <v>8.2999999999999972</v>
      </c>
      <c r="G7" s="9">
        <f t="shared" si="13"/>
        <v>2.8999999999999986</v>
      </c>
      <c r="H7" s="9">
        <f t="shared" si="13"/>
        <v>6.6999999999999993</v>
      </c>
      <c r="I7" s="9">
        <f t="shared" si="13"/>
        <v>-3</v>
      </c>
      <c r="J7" s="9">
        <f t="shared" si="13"/>
        <v>-1.8000000000000043</v>
      </c>
      <c r="K7" s="9">
        <f t="shared" si="13"/>
        <v>-4.4705500000000011</v>
      </c>
      <c r="L7" s="9">
        <f t="shared" si="13"/>
        <v>1.5065600000000003</v>
      </c>
      <c r="N7" s="9">
        <f t="shared" ref="N7:S7" si="14">N5-N6</f>
        <v>7.7999999999999972</v>
      </c>
      <c r="O7" s="9">
        <f t="shared" si="14"/>
        <v>12.000000000000007</v>
      </c>
      <c r="P7" s="9">
        <f t="shared" si="14"/>
        <v>16.300000000000004</v>
      </c>
      <c r="Q7" s="9">
        <f t="shared" si="14"/>
        <v>14.599999999999998</v>
      </c>
      <c r="R7" s="9">
        <f t="shared" si="14"/>
        <v>9.5999999999999979</v>
      </c>
      <c r="S7" s="9">
        <f t="shared" si="14"/>
        <v>-4.8000000000000114</v>
      </c>
      <c r="T7" s="9">
        <f t="shared" ref="T7:AC7" si="15">T5-T6</f>
        <v>-2.9639900000000168</v>
      </c>
      <c r="U7" s="9">
        <f t="shared" si="15"/>
        <v>2.0125724999999761</v>
      </c>
      <c r="V7" s="9">
        <f t="shared" si="15"/>
        <v>4.8207937499999787</v>
      </c>
      <c r="W7" s="9">
        <f t="shared" si="15"/>
        <v>7.4658260499999827</v>
      </c>
      <c r="X7" s="9">
        <f t="shared" si="15"/>
        <v>8.7699772980999811</v>
      </c>
      <c r="Y7" s="9">
        <f t="shared" si="15"/>
        <v>10.079562133991978</v>
      </c>
      <c r="Z7" s="9">
        <f t="shared" si="15"/>
        <v>10.870929727435417</v>
      </c>
      <c r="AA7" s="9">
        <f t="shared" si="15"/>
        <v>11.695817963270628</v>
      </c>
      <c r="AB7" s="9">
        <f t="shared" si="15"/>
        <v>13.064163603953553</v>
      </c>
      <c r="AC7" s="9">
        <f t="shared" si="15"/>
        <v>13.839269782433931</v>
      </c>
      <c r="AD7" s="9">
        <f t="shared" ref="AD7" si="16">AD5-AD6</f>
        <v>14.635016313547951</v>
      </c>
    </row>
    <row r="8" spans="2:142" x14ac:dyDescent="0.3">
      <c r="B8" t="s">
        <v>23</v>
      </c>
      <c r="C8" s="6">
        <v>0.2</v>
      </c>
      <c r="D8" s="10">
        <f>P8-C8</f>
        <v>9.9999999999999978E-2</v>
      </c>
      <c r="E8" s="6">
        <v>0.1</v>
      </c>
      <c r="F8" s="10">
        <f>Q8-E8</f>
        <v>0.19999999999999998</v>
      </c>
      <c r="G8" s="6">
        <v>0</v>
      </c>
      <c r="H8" s="10">
        <f>R8-G8</f>
        <v>0.1</v>
      </c>
      <c r="I8" s="6">
        <v>0</v>
      </c>
      <c r="J8" s="6">
        <v>0.2</v>
      </c>
      <c r="K8" s="6">
        <v>0.2</v>
      </c>
      <c r="L8" s="6">
        <v>0.2</v>
      </c>
      <c r="N8" s="6">
        <v>0.1</v>
      </c>
      <c r="O8" s="6">
        <v>0.4</v>
      </c>
      <c r="P8" s="6">
        <v>0.3</v>
      </c>
      <c r="Q8" s="6">
        <v>0.3</v>
      </c>
      <c r="R8" s="6">
        <v>0.1</v>
      </c>
      <c r="S8" s="10">
        <f>SUM(I8:J8)</f>
        <v>0.2</v>
      </c>
      <c r="T8" s="10">
        <f>SUM(K8:L8)</f>
        <v>0.4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</row>
    <row r="9" spans="2:142" s="1" customFormat="1" x14ac:dyDescent="0.3">
      <c r="B9" s="1" t="s">
        <v>24</v>
      </c>
      <c r="C9" s="9">
        <f t="shared" ref="C9:L9" si="17">C7-C8</f>
        <v>8.7000000000000011</v>
      </c>
      <c r="D9" s="9">
        <f t="shared" si="17"/>
        <v>7.3000000000000043</v>
      </c>
      <c r="E9" s="9">
        <f t="shared" si="17"/>
        <v>6.2000000000000011</v>
      </c>
      <c r="F9" s="9">
        <f t="shared" si="17"/>
        <v>8.0999999999999979</v>
      </c>
      <c r="G9" s="9">
        <f t="shared" si="17"/>
        <v>2.8999999999999986</v>
      </c>
      <c r="H9" s="9">
        <f t="shared" si="17"/>
        <v>6.6</v>
      </c>
      <c r="I9" s="9">
        <f t="shared" si="17"/>
        <v>-3</v>
      </c>
      <c r="J9" s="9">
        <f t="shared" si="17"/>
        <v>-2.0000000000000044</v>
      </c>
      <c r="K9" s="9">
        <f t="shared" si="17"/>
        <v>-4.6705500000000013</v>
      </c>
      <c r="L9" s="9">
        <f t="shared" si="17"/>
        <v>1.3065600000000004</v>
      </c>
      <c r="N9" s="9">
        <f t="shared" ref="N9:S9" si="18">N7-N8</f>
        <v>7.6999999999999975</v>
      </c>
      <c r="O9" s="9">
        <f t="shared" si="18"/>
        <v>11.600000000000007</v>
      </c>
      <c r="P9" s="9">
        <f t="shared" si="18"/>
        <v>16.000000000000004</v>
      </c>
      <c r="Q9" s="9">
        <f t="shared" si="18"/>
        <v>14.299999999999997</v>
      </c>
      <c r="R9" s="9">
        <f t="shared" si="18"/>
        <v>9.4999999999999982</v>
      </c>
      <c r="S9" s="9">
        <f t="shared" si="18"/>
        <v>-5.0000000000000115</v>
      </c>
      <c r="T9" s="9">
        <f t="shared" ref="T9:AC9" si="19">T7-T8</f>
        <v>-3.3639900000000167</v>
      </c>
      <c r="U9" s="9">
        <f t="shared" si="19"/>
        <v>2.0125724999999761</v>
      </c>
      <c r="V9" s="9">
        <f t="shared" si="19"/>
        <v>4.8207937499999787</v>
      </c>
      <c r="W9" s="9">
        <f t="shared" si="19"/>
        <v>7.4658260499999827</v>
      </c>
      <c r="X9" s="9">
        <f t="shared" si="19"/>
        <v>8.7699772980999811</v>
      </c>
      <c r="Y9" s="9">
        <f t="shared" si="19"/>
        <v>10.079562133991978</v>
      </c>
      <c r="Z9" s="9">
        <f t="shared" si="19"/>
        <v>10.870929727435417</v>
      </c>
      <c r="AA9" s="9">
        <f t="shared" si="19"/>
        <v>11.695817963270628</v>
      </c>
      <c r="AB9" s="9">
        <f t="shared" si="19"/>
        <v>13.064163603953553</v>
      </c>
      <c r="AC9" s="9">
        <f t="shared" si="19"/>
        <v>13.839269782433931</v>
      </c>
      <c r="AD9" s="9">
        <f t="shared" ref="AD9" si="20">AD7-AD8</f>
        <v>14.635016313547951</v>
      </c>
    </row>
    <row r="10" spans="2:142" x14ac:dyDescent="0.3">
      <c r="B10" t="s">
        <v>25</v>
      </c>
      <c r="C10" s="6">
        <v>1.4</v>
      </c>
      <c r="D10" s="10">
        <f>P10-C10</f>
        <v>0.5</v>
      </c>
      <c r="E10" s="6">
        <v>1.1000000000000001</v>
      </c>
      <c r="F10" s="10">
        <f>Q10-E10</f>
        <v>-0.90000000000000013</v>
      </c>
      <c r="G10" s="6">
        <v>0.7</v>
      </c>
      <c r="H10" s="10">
        <f>R10-G10</f>
        <v>0.40000000000000013</v>
      </c>
      <c r="I10" s="6">
        <v>0</v>
      </c>
      <c r="J10" s="6">
        <v>1</v>
      </c>
      <c r="K10" s="6">
        <f>K9*0.1</f>
        <v>-0.46705500000000016</v>
      </c>
      <c r="L10" s="6">
        <f>L9*0.1</f>
        <v>0.13065600000000005</v>
      </c>
      <c r="N10" s="6">
        <v>1.4</v>
      </c>
      <c r="O10" s="6">
        <v>2.4</v>
      </c>
      <c r="P10" s="6">
        <v>1.9</v>
      </c>
      <c r="Q10" s="6">
        <v>0.2</v>
      </c>
      <c r="R10" s="6">
        <v>1.1000000000000001</v>
      </c>
      <c r="S10" s="10">
        <f>SUM(I10:J10)</f>
        <v>1</v>
      </c>
      <c r="T10" s="10">
        <f>SUM(K10:L10)</f>
        <v>-0.33639900000000011</v>
      </c>
      <c r="U10" s="6">
        <f t="shared" ref="U10:AC10" si="21">U9*0.11</f>
        <v>0.22138297499999737</v>
      </c>
      <c r="V10" s="6">
        <f t="shared" si="21"/>
        <v>0.53028731249999761</v>
      </c>
      <c r="W10" s="6">
        <f t="shared" si="21"/>
        <v>0.82124086549999809</v>
      </c>
      <c r="X10" s="6">
        <f t="shared" si="21"/>
        <v>0.96469750279099797</v>
      </c>
      <c r="Y10" s="6">
        <f t="shared" si="21"/>
        <v>1.1087518347391176</v>
      </c>
      <c r="Z10" s="6">
        <f t="shared" si="21"/>
        <v>1.1958022700178959</v>
      </c>
      <c r="AA10" s="6">
        <f t="shared" si="21"/>
        <v>1.2865399759597691</v>
      </c>
      <c r="AB10" s="6">
        <f t="shared" si="21"/>
        <v>1.4370579964348908</v>
      </c>
      <c r="AC10" s="6">
        <f t="shared" si="21"/>
        <v>1.5223196760677324</v>
      </c>
      <c r="AD10" s="6">
        <f t="shared" ref="AD10" si="22">AD9*0.11</f>
        <v>1.6098517944902746</v>
      </c>
    </row>
    <row r="11" spans="2:142" s="1" customFormat="1" x14ac:dyDescent="0.3">
      <c r="B11" s="1" t="s">
        <v>26</v>
      </c>
      <c r="C11" s="9">
        <f t="shared" ref="C11:J11" si="23">C9-C10</f>
        <v>7.3000000000000007</v>
      </c>
      <c r="D11" s="9">
        <f t="shared" si="23"/>
        <v>6.8000000000000043</v>
      </c>
      <c r="E11" s="9">
        <f t="shared" si="23"/>
        <v>5.1000000000000014</v>
      </c>
      <c r="F11" s="9">
        <f t="shared" si="23"/>
        <v>8.9999999999999982</v>
      </c>
      <c r="G11" s="9">
        <f t="shared" si="23"/>
        <v>2.1999999999999984</v>
      </c>
      <c r="H11" s="9">
        <f t="shared" si="23"/>
        <v>6.1999999999999993</v>
      </c>
      <c r="I11" s="9">
        <f t="shared" si="23"/>
        <v>-3</v>
      </c>
      <c r="J11" s="9">
        <f t="shared" si="23"/>
        <v>-3.0000000000000044</v>
      </c>
      <c r="K11" s="9">
        <f t="shared" ref="K11:L11" si="24">K9-K10</f>
        <v>-4.2034950000000011</v>
      </c>
      <c r="L11" s="9">
        <f t="shared" si="24"/>
        <v>1.1759040000000003</v>
      </c>
      <c r="N11" s="9">
        <f t="shared" ref="N11:S11" si="25">N9-N10</f>
        <v>6.2999999999999972</v>
      </c>
      <c r="O11" s="9">
        <f t="shared" si="25"/>
        <v>9.2000000000000064</v>
      </c>
      <c r="P11" s="9">
        <f t="shared" si="25"/>
        <v>14.100000000000003</v>
      </c>
      <c r="Q11" s="9">
        <f t="shared" si="25"/>
        <v>14.099999999999998</v>
      </c>
      <c r="R11" s="9">
        <f t="shared" si="25"/>
        <v>8.3999999999999986</v>
      </c>
      <c r="S11" s="9">
        <f t="shared" si="25"/>
        <v>-6.0000000000000115</v>
      </c>
      <c r="T11" s="9">
        <f t="shared" ref="T11:AC11" si="26">T9-T10</f>
        <v>-3.0275910000000166</v>
      </c>
      <c r="U11" s="9">
        <f t="shared" si="26"/>
        <v>1.7911895249999787</v>
      </c>
      <c r="V11" s="9">
        <f t="shared" si="26"/>
        <v>4.2905064374999808</v>
      </c>
      <c r="W11" s="9">
        <f t="shared" si="26"/>
        <v>6.6445851844999844</v>
      </c>
      <c r="X11" s="9">
        <f t="shared" si="26"/>
        <v>7.8052797953089827</v>
      </c>
      <c r="Y11" s="9">
        <f t="shared" si="26"/>
        <v>8.9708102992528609</v>
      </c>
      <c r="Z11" s="9">
        <f t="shared" si="26"/>
        <v>9.6751274574175206</v>
      </c>
      <c r="AA11" s="9">
        <f t="shared" si="26"/>
        <v>10.409277987310858</v>
      </c>
      <c r="AB11" s="9">
        <f t="shared" si="26"/>
        <v>11.627105607518661</v>
      </c>
      <c r="AC11" s="9">
        <f t="shared" si="26"/>
        <v>12.316950106366198</v>
      </c>
      <c r="AD11" s="9">
        <f t="shared" ref="AD11" si="27">AD9-AD10</f>
        <v>13.025164519057675</v>
      </c>
      <c r="AE11" s="1">
        <f t="shared" ref="AE11:BJ11" si="28">AD11*(1+$AG$17)</f>
        <v>12.894912873867098</v>
      </c>
      <c r="AF11" s="1">
        <f t="shared" si="28"/>
        <v>12.765963745128426</v>
      </c>
      <c r="AG11" s="1">
        <f t="shared" si="28"/>
        <v>12.638304107677142</v>
      </c>
      <c r="AH11" s="1">
        <f t="shared" si="28"/>
        <v>12.511921066600371</v>
      </c>
      <c r="AI11" s="1">
        <f t="shared" si="28"/>
        <v>12.386801855934367</v>
      </c>
      <c r="AJ11" s="1">
        <f t="shared" si="28"/>
        <v>12.262933837375023</v>
      </c>
      <c r="AK11" s="1">
        <f t="shared" si="28"/>
        <v>12.140304499001273</v>
      </c>
      <c r="AL11" s="1">
        <f t="shared" si="28"/>
        <v>12.01890145401126</v>
      </c>
      <c r="AM11" s="1">
        <f t="shared" si="28"/>
        <v>11.898712439471147</v>
      </c>
      <c r="AN11" s="1">
        <f t="shared" si="28"/>
        <v>11.779725315076435</v>
      </c>
      <c r="AO11" s="1">
        <f t="shared" si="28"/>
        <v>11.661928061925671</v>
      </c>
      <c r="AP11" s="1">
        <f t="shared" si="28"/>
        <v>11.545308781306414</v>
      </c>
      <c r="AQ11" s="1">
        <f t="shared" si="28"/>
        <v>11.42985569349335</v>
      </c>
      <c r="AR11" s="1">
        <f t="shared" si="28"/>
        <v>11.315557136558416</v>
      </c>
      <c r="AS11" s="1">
        <f t="shared" si="28"/>
        <v>11.202401565192831</v>
      </c>
      <c r="AT11" s="1">
        <f t="shared" si="28"/>
        <v>11.090377549540904</v>
      </c>
      <c r="AU11" s="1">
        <f t="shared" si="28"/>
        <v>10.979473774045495</v>
      </c>
      <c r="AV11" s="1">
        <f t="shared" si="28"/>
        <v>10.86967903630504</v>
      </c>
      <c r="AW11" s="1">
        <f t="shared" si="28"/>
        <v>10.760982245941991</v>
      </c>
      <c r="AX11" s="1">
        <f t="shared" si="28"/>
        <v>10.653372423482571</v>
      </c>
      <c r="AY11" s="1">
        <f t="shared" si="28"/>
        <v>10.546838699247745</v>
      </c>
      <c r="AZ11" s="1">
        <f t="shared" si="28"/>
        <v>10.441370312255268</v>
      </c>
      <c r="BA11" s="1">
        <f t="shared" si="28"/>
        <v>10.336956609132715</v>
      </c>
      <c r="BB11" s="1">
        <f t="shared" si="28"/>
        <v>10.233587043041387</v>
      </c>
      <c r="BC11" s="1">
        <f t="shared" si="28"/>
        <v>10.131251172610973</v>
      </c>
      <c r="BD11" s="1">
        <f t="shared" si="28"/>
        <v>10.029938660884863</v>
      </c>
      <c r="BE11" s="1">
        <f t="shared" si="28"/>
        <v>9.9296392742760133</v>
      </c>
      <c r="BF11" s="1">
        <f t="shared" si="28"/>
        <v>9.8303428815332534</v>
      </c>
      <c r="BG11" s="1">
        <f t="shared" si="28"/>
        <v>9.7320394527179204</v>
      </c>
      <c r="BH11" s="1">
        <f t="shared" si="28"/>
        <v>9.6347190581907416</v>
      </c>
      <c r="BI11" s="1">
        <f t="shared" si="28"/>
        <v>9.5383718676088343</v>
      </c>
      <c r="BJ11" s="1">
        <f t="shared" si="28"/>
        <v>9.442988148932745</v>
      </c>
      <c r="BK11" s="1">
        <f t="shared" ref="BK11:CP11" si="29">BJ11*(1+$AG$17)</f>
        <v>9.3485582674434173</v>
      </c>
      <c r="BL11" s="1">
        <f t="shared" si="29"/>
        <v>9.255072684768983</v>
      </c>
      <c r="BM11" s="1">
        <f t="shared" si="29"/>
        <v>9.1625219579212924</v>
      </c>
      <c r="BN11" s="1">
        <f t="shared" si="29"/>
        <v>9.0708967383420802</v>
      </c>
      <c r="BO11" s="1">
        <f t="shared" si="29"/>
        <v>8.9801877709586595</v>
      </c>
      <c r="BP11" s="1">
        <f t="shared" si="29"/>
        <v>8.8903858932490731</v>
      </c>
      <c r="BQ11" s="1">
        <f t="shared" si="29"/>
        <v>8.8014820343165816</v>
      </c>
      <c r="BR11" s="1">
        <f t="shared" si="29"/>
        <v>8.7134672139734164</v>
      </c>
      <c r="BS11" s="1">
        <f t="shared" si="29"/>
        <v>8.6263325418336816</v>
      </c>
      <c r="BT11" s="1">
        <f t="shared" si="29"/>
        <v>8.5400692164153451</v>
      </c>
      <c r="BU11" s="1">
        <f t="shared" si="29"/>
        <v>8.4546685242511916</v>
      </c>
      <c r="BV11" s="1">
        <f t="shared" si="29"/>
        <v>8.3701218390086805</v>
      </c>
      <c r="BW11" s="1">
        <f t="shared" si="29"/>
        <v>8.2864206206185944</v>
      </c>
      <c r="BX11" s="1">
        <f t="shared" si="29"/>
        <v>8.2035564144124091</v>
      </c>
      <c r="BY11" s="1">
        <f t="shared" si="29"/>
        <v>8.1215208502682845</v>
      </c>
      <c r="BZ11" s="1">
        <f t="shared" si="29"/>
        <v>8.0403056417656025</v>
      </c>
      <c r="CA11" s="1">
        <f t="shared" si="29"/>
        <v>7.9599025853479466</v>
      </c>
      <c r="CB11" s="1">
        <f t="shared" si="29"/>
        <v>7.8803035594944673</v>
      </c>
      <c r="CC11" s="1">
        <f t="shared" si="29"/>
        <v>7.8015005238995228</v>
      </c>
      <c r="CD11" s="1">
        <f t="shared" si="29"/>
        <v>7.7234855186605271</v>
      </c>
      <c r="CE11" s="1">
        <f t="shared" si="29"/>
        <v>7.6462506634739213</v>
      </c>
      <c r="CF11" s="1">
        <f t="shared" si="29"/>
        <v>7.5697881568391825</v>
      </c>
      <c r="CG11" s="1">
        <f t="shared" si="29"/>
        <v>7.494090275270791</v>
      </c>
      <c r="CH11" s="1">
        <f t="shared" si="29"/>
        <v>7.419149372518083</v>
      </c>
      <c r="CI11" s="1">
        <f t="shared" si="29"/>
        <v>7.3449578787929024</v>
      </c>
      <c r="CJ11" s="1">
        <f t="shared" si="29"/>
        <v>7.2715083000049736</v>
      </c>
      <c r="CK11" s="1">
        <f t="shared" si="29"/>
        <v>7.1987932170049236</v>
      </c>
      <c r="CL11" s="1">
        <f t="shared" si="29"/>
        <v>7.126805284834874</v>
      </c>
      <c r="CM11" s="1">
        <f t="shared" si="29"/>
        <v>7.0555372319865253</v>
      </c>
      <c r="CN11" s="1">
        <f t="shared" si="29"/>
        <v>6.98498185966666</v>
      </c>
      <c r="CO11" s="1">
        <f t="shared" si="29"/>
        <v>6.9151320410699935</v>
      </c>
      <c r="CP11" s="1">
        <f t="shared" si="29"/>
        <v>6.8459807206592931</v>
      </c>
      <c r="CQ11" s="1">
        <f t="shared" ref="CQ11:DV11" si="30">CP11*(1+$AG$17)</f>
        <v>6.7775209134527001</v>
      </c>
      <c r="CR11" s="1">
        <f t="shared" si="30"/>
        <v>6.7097457043181734</v>
      </c>
      <c r="CS11" s="1">
        <f t="shared" si="30"/>
        <v>6.6426482472749919</v>
      </c>
      <c r="CT11" s="1">
        <f t="shared" si="30"/>
        <v>6.5762217648022423</v>
      </c>
      <c r="CU11" s="1">
        <f t="shared" si="30"/>
        <v>6.5104595471542197</v>
      </c>
      <c r="CV11" s="1">
        <f t="shared" si="30"/>
        <v>6.4453549516826776</v>
      </c>
      <c r="CW11" s="1">
        <f t="shared" si="30"/>
        <v>6.3809014021658506</v>
      </c>
      <c r="CX11" s="1">
        <f t="shared" si="30"/>
        <v>6.317092388144192</v>
      </c>
      <c r="CY11" s="1">
        <f t="shared" si="30"/>
        <v>6.2539214642627501</v>
      </c>
      <c r="CZ11" s="1">
        <f t="shared" si="30"/>
        <v>6.1913822496201227</v>
      </c>
      <c r="DA11" s="1">
        <f t="shared" si="30"/>
        <v>6.1294684271239213</v>
      </c>
      <c r="DB11" s="1">
        <f t="shared" si="30"/>
        <v>6.0681737428526823</v>
      </c>
      <c r="DC11" s="1">
        <f t="shared" si="30"/>
        <v>6.0074920054241554</v>
      </c>
      <c r="DD11" s="1">
        <f t="shared" si="30"/>
        <v>5.9474170853699135</v>
      </c>
      <c r="DE11" s="1">
        <f t="shared" si="30"/>
        <v>5.8879429145162145</v>
      </c>
      <c r="DF11" s="1">
        <f t="shared" si="30"/>
        <v>5.8290634853710523</v>
      </c>
      <c r="DG11" s="1">
        <f t="shared" si="30"/>
        <v>5.7707728505173419</v>
      </c>
      <c r="DH11" s="1">
        <f t="shared" si="30"/>
        <v>5.7130651220121687</v>
      </c>
      <c r="DI11" s="1">
        <f t="shared" si="30"/>
        <v>5.6559344707920465</v>
      </c>
      <c r="DJ11" s="1">
        <f t="shared" si="30"/>
        <v>5.5993751260841256</v>
      </c>
      <c r="DK11" s="1">
        <f t="shared" si="30"/>
        <v>5.5433813748232845</v>
      </c>
      <c r="DL11" s="1">
        <f t="shared" si="30"/>
        <v>5.4879475610750514</v>
      </c>
      <c r="DM11" s="1">
        <f t="shared" si="30"/>
        <v>5.433068085464301</v>
      </c>
      <c r="DN11" s="1">
        <f t="shared" si="30"/>
        <v>5.3787374046096579</v>
      </c>
      <c r="DO11" s="1">
        <f t="shared" si="30"/>
        <v>5.3249500305635609</v>
      </c>
      <c r="DP11" s="1">
        <f t="shared" si="30"/>
        <v>5.2717005302579256</v>
      </c>
      <c r="DQ11" s="1">
        <f t="shared" si="30"/>
        <v>5.2189835249553465</v>
      </c>
      <c r="DR11" s="1">
        <f t="shared" si="30"/>
        <v>5.1667936897057931</v>
      </c>
      <c r="DS11" s="1">
        <f t="shared" si="30"/>
        <v>5.1151257528087353</v>
      </c>
      <c r="DT11" s="1">
        <f t="shared" si="30"/>
        <v>5.0639744952806476</v>
      </c>
      <c r="DU11" s="1">
        <f t="shared" si="30"/>
        <v>5.0133347503278411</v>
      </c>
      <c r="DV11" s="1">
        <f t="shared" si="30"/>
        <v>4.9632014028245628</v>
      </c>
      <c r="DW11" s="1">
        <f t="shared" ref="DW11:EL11" si="31">DV11*(1+$AG$17)</f>
        <v>4.9135693887963168</v>
      </c>
      <c r="DX11" s="1">
        <f t="shared" si="31"/>
        <v>4.864433694908354</v>
      </c>
      <c r="DY11" s="1">
        <f t="shared" si="31"/>
        <v>4.8157893579592708</v>
      </c>
      <c r="DZ11" s="1">
        <f t="shared" si="31"/>
        <v>4.7676314643796784</v>
      </c>
      <c r="EA11" s="1">
        <f t="shared" si="31"/>
        <v>4.719955149735882</v>
      </c>
      <c r="EB11" s="1">
        <f t="shared" si="31"/>
        <v>4.6727555982385232</v>
      </c>
      <c r="EC11" s="1">
        <f t="shared" si="31"/>
        <v>4.626028042256138</v>
      </c>
      <c r="ED11" s="1">
        <f t="shared" si="31"/>
        <v>4.5797677618335761</v>
      </c>
      <c r="EE11" s="1">
        <f t="shared" si="31"/>
        <v>4.5339700842152402</v>
      </c>
      <c r="EF11" s="1">
        <f t="shared" si="31"/>
        <v>4.4886303833730876</v>
      </c>
      <c r="EG11" s="1">
        <f t="shared" si="31"/>
        <v>4.443744079539357</v>
      </c>
      <c r="EH11" s="1">
        <f t="shared" si="31"/>
        <v>4.3993066387439637</v>
      </c>
      <c r="EI11" s="1">
        <f t="shared" si="31"/>
        <v>4.3553135723565237</v>
      </c>
      <c r="EJ11" s="1">
        <f t="shared" si="31"/>
        <v>4.3117604366329587</v>
      </c>
      <c r="EK11" s="1">
        <f t="shared" si="31"/>
        <v>4.2686428322666288</v>
      </c>
      <c r="EL11" s="1">
        <f t="shared" si="31"/>
        <v>4.2259564039439628</v>
      </c>
    </row>
    <row r="12" spans="2:142" x14ac:dyDescent="0.3">
      <c r="B12" t="s">
        <v>1</v>
      </c>
      <c r="C12" s="6">
        <v>66.400000000000006</v>
      </c>
      <c r="D12" s="6">
        <v>66.400000000000006</v>
      </c>
      <c r="E12" s="6">
        <v>66.400000000000006</v>
      </c>
      <c r="F12" s="6">
        <v>66.400000000000006</v>
      </c>
      <c r="G12" s="6">
        <v>66.400000000000006</v>
      </c>
      <c r="H12" s="6">
        <v>66.400000000000006</v>
      </c>
      <c r="I12" s="6">
        <v>66.400000000000006</v>
      </c>
      <c r="J12" s="6">
        <v>66.400000000000006</v>
      </c>
      <c r="K12" s="6">
        <v>66.400000000000006</v>
      </c>
      <c r="L12" s="6">
        <v>66.400000000000006</v>
      </c>
      <c r="N12" s="6">
        <v>66.400000000000006</v>
      </c>
      <c r="O12" s="6">
        <v>66.400000000000006</v>
      </c>
      <c r="P12" s="6">
        <v>66.400000000000006</v>
      </c>
      <c r="Q12" s="6">
        <v>66.400000000000006</v>
      </c>
      <c r="R12" s="6">
        <v>66.400000000000006</v>
      </c>
      <c r="S12" s="6">
        <v>66.400000000000006</v>
      </c>
      <c r="T12" s="6">
        <v>66.400000000000006</v>
      </c>
      <c r="U12" s="6">
        <v>66.400000000000006</v>
      </c>
      <c r="V12" s="6">
        <v>66.400000000000006</v>
      </c>
      <c r="W12" s="6">
        <v>66.400000000000006</v>
      </c>
      <c r="X12" s="6">
        <v>66.400000000000006</v>
      </c>
      <c r="Y12" s="6">
        <v>66.400000000000006</v>
      </c>
      <c r="Z12" s="6">
        <v>66.400000000000006</v>
      </c>
      <c r="AA12" s="6">
        <v>66.400000000000006</v>
      </c>
      <c r="AB12" s="6">
        <v>66.400000000000006</v>
      </c>
      <c r="AC12" s="6">
        <v>66.400000000000006</v>
      </c>
      <c r="AD12" s="6">
        <v>66.400000000000006</v>
      </c>
    </row>
    <row r="13" spans="2:142" s="1" customFormat="1" x14ac:dyDescent="0.3">
      <c r="B13" s="1" t="s">
        <v>27</v>
      </c>
      <c r="C13" s="8">
        <f t="shared" ref="C13:J13" si="32">C11/C12</f>
        <v>0.10993975903614459</v>
      </c>
      <c r="D13" s="8">
        <f t="shared" si="32"/>
        <v>0.10240963855421692</v>
      </c>
      <c r="E13" s="8">
        <f t="shared" si="32"/>
        <v>7.6807228915662662E-2</v>
      </c>
      <c r="F13" s="8">
        <f t="shared" si="32"/>
        <v>0.13554216867469876</v>
      </c>
      <c r="G13" s="8">
        <f t="shared" si="32"/>
        <v>3.3132530120481903E-2</v>
      </c>
      <c r="H13" s="8">
        <f t="shared" si="32"/>
        <v>9.3373493975903596E-2</v>
      </c>
      <c r="I13" s="8">
        <f t="shared" si="32"/>
        <v>-4.5180722891566258E-2</v>
      </c>
      <c r="J13" s="8">
        <f t="shared" si="32"/>
        <v>-4.5180722891566327E-2</v>
      </c>
      <c r="K13" s="8">
        <f t="shared" ref="K13:L13" si="33">K11/K12</f>
        <v>-6.3305647590361461E-2</v>
      </c>
      <c r="L13" s="8">
        <f t="shared" si="33"/>
        <v>1.7709397590361449E-2</v>
      </c>
      <c r="N13" s="8">
        <f t="shared" ref="N13:S13" si="34">N11/N12</f>
        <v>9.4879518072289101E-2</v>
      </c>
      <c r="O13" s="8">
        <f t="shared" si="34"/>
        <v>0.13855421686746996</v>
      </c>
      <c r="P13" s="8">
        <f t="shared" si="34"/>
        <v>0.21234939759036148</v>
      </c>
      <c r="Q13" s="8">
        <f t="shared" si="34"/>
        <v>0.21234939759036139</v>
      </c>
      <c r="R13" s="8">
        <f t="shared" si="34"/>
        <v>0.12650602409638551</v>
      </c>
      <c r="S13" s="8">
        <f t="shared" si="34"/>
        <v>-9.0361445783132696E-2</v>
      </c>
      <c r="T13" s="8">
        <f t="shared" ref="T13:AC13" si="35">T11/T12</f>
        <v>-4.5596250000000248E-2</v>
      </c>
      <c r="U13" s="8">
        <f t="shared" si="35"/>
        <v>2.6975745858433414E-2</v>
      </c>
      <c r="V13" s="8">
        <f t="shared" si="35"/>
        <v>6.4616060805722603E-2</v>
      </c>
      <c r="W13" s="8">
        <f t="shared" si="35"/>
        <v>0.10006905398343349</v>
      </c>
      <c r="X13" s="8">
        <f t="shared" si="35"/>
        <v>0.1175493945076654</v>
      </c>
      <c r="Y13" s="8">
        <f t="shared" si="35"/>
        <v>0.13510256474778404</v>
      </c>
      <c r="Z13" s="8">
        <f t="shared" si="35"/>
        <v>0.14570975086472168</v>
      </c>
      <c r="AA13" s="8">
        <f t="shared" si="35"/>
        <v>0.1567662347486575</v>
      </c>
      <c r="AB13" s="8">
        <f t="shared" si="35"/>
        <v>0.1751070121614256</v>
      </c>
      <c r="AC13" s="8">
        <f t="shared" si="35"/>
        <v>0.18549623654165959</v>
      </c>
      <c r="AD13" s="8">
        <f t="shared" ref="AD13" si="36">AD11/AD12</f>
        <v>0.19616211625086857</v>
      </c>
    </row>
    <row r="15" spans="2:142" x14ac:dyDescent="0.3">
      <c r="B15" s="1" t="s">
        <v>28</v>
      </c>
      <c r="C15" s="11"/>
      <c r="D15" s="11"/>
      <c r="E15" s="11">
        <f>E3/C3-1</f>
        <v>-0.1159929701230229</v>
      </c>
      <c r="F15" s="11">
        <f t="shared" ref="F15:J15" si="37">F3/D3-1</f>
        <v>0.24091778202676872</v>
      </c>
      <c r="G15" s="11">
        <f t="shared" si="37"/>
        <v>-0.16699801192842945</v>
      </c>
      <c r="H15" s="11">
        <f t="shared" si="37"/>
        <v>-0.22342064714946075</v>
      </c>
      <c r="I15" s="11">
        <f t="shared" si="37"/>
        <v>-0.33412887828162297</v>
      </c>
      <c r="J15" s="11">
        <f t="shared" si="37"/>
        <v>0.26587301587301582</v>
      </c>
      <c r="K15" s="11">
        <f t="shared" ref="K15" si="38">K3/I3-1</f>
        <v>0.35000000000000009</v>
      </c>
      <c r="L15" s="11">
        <f t="shared" ref="L15" si="39">L3/J3-1</f>
        <v>0.17999999999999994</v>
      </c>
      <c r="N15" s="11"/>
      <c r="O15" s="11">
        <f>O3/N3-1</f>
        <v>1.1626794258373208</v>
      </c>
      <c r="P15" s="11">
        <f t="shared" ref="P15:AD15" si="40">P3/O3-1</f>
        <v>0.20796460176991149</v>
      </c>
      <c r="Q15" s="11">
        <f t="shared" si="40"/>
        <v>5.4945054945054972E-2</v>
      </c>
      <c r="R15" s="11">
        <f t="shared" si="40"/>
        <v>-0.19878472222222232</v>
      </c>
      <c r="S15" s="11">
        <f t="shared" si="40"/>
        <v>-6.50054171180936E-3</v>
      </c>
      <c r="T15" s="11">
        <f t="shared" si="40"/>
        <v>0.2317230098146128</v>
      </c>
      <c r="U15" s="11">
        <f t="shared" si="40"/>
        <v>0.14999999999999991</v>
      </c>
      <c r="V15" s="11">
        <f t="shared" si="40"/>
        <v>0.10000000000000009</v>
      </c>
      <c r="W15" s="11">
        <f t="shared" si="40"/>
        <v>8.0000000000000071E-2</v>
      </c>
      <c r="X15" s="11">
        <f t="shared" si="40"/>
        <v>5.0000000000000044E-2</v>
      </c>
      <c r="Y15" s="11">
        <f t="shared" si="40"/>
        <v>4.0000000000000036E-2</v>
      </c>
      <c r="Z15" s="11">
        <f t="shared" si="40"/>
        <v>3.0000000000000027E-2</v>
      </c>
      <c r="AA15" s="11">
        <f t="shared" si="40"/>
        <v>3.0000000000000027E-2</v>
      </c>
      <c r="AB15" s="11">
        <f t="shared" si="40"/>
        <v>3.0000000000000027E-2</v>
      </c>
      <c r="AC15" s="11">
        <f t="shared" si="40"/>
        <v>2.0000000000000018E-2</v>
      </c>
      <c r="AD15" s="11">
        <f t="shared" si="40"/>
        <v>2.0000000000000018E-2</v>
      </c>
    </row>
    <row r="16" spans="2:142" x14ac:dyDescent="0.3">
      <c r="B16" s="1" t="s">
        <v>29</v>
      </c>
      <c r="C16" s="11">
        <f t="shared" ref="C16:D16" si="41">C5/C3</f>
        <v>0.34270650263620389</v>
      </c>
      <c r="D16" s="11">
        <f t="shared" si="41"/>
        <v>0.33269598470363299</v>
      </c>
      <c r="E16" s="11">
        <f>E5/E3</f>
        <v>0.35785288270377735</v>
      </c>
      <c r="F16" s="11">
        <f t="shared" ref="F16:J16" si="42">F5/F3</f>
        <v>0.33590138674884429</v>
      </c>
      <c r="G16" s="11">
        <f t="shared" si="42"/>
        <v>0.36276849642004771</v>
      </c>
      <c r="H16" s="11">
        <f t="shared" si="42"/>
        <v>0.37896825396825395</v>
      </c>
      <c r="I16" s="11">
        <f t="shared" si="42"/>
        <v>0.35842293906810035</v>
      </c>
      <c r="J16" s="11">
        <f t="shared" si="42"/>
        <v>0.31504702194357359</v>
      </c>
      <c r="K16" s="11">
        <f t="shared" ref="K16:L16" si="43">K5/K3</f>
        <v>0.33</v>
      </c>
      <c r="L16" s="11">
        <f t="shared" si="43"/>
        <v>0.34</v>
      </c>
      <c r="N16" s="11">
        <f t="shared" ref="N16:AC16" si="44">N5/N3</f>
        <v>0.41387559808612434</v>
      </c>
      <c r="O16" s="11">
        <f t="shared" si="44"/>
        <v>0.35508849557522132</v>
      </c>
      <c r="P16" s="11">
        <f t="shared" si="44"/>
        <v>0.33791208791208793</v>
      </c>
      <c r="Q16" s="11">
        <f t="shared" si="44"/>
        <v>0.3454861111111111</v>
      </c>
      <c r="R16" s="11">
        <f t="shared" si="44"/>
        <v>0.37161430119176597</v>
      </c>
      <c r="S16" s="11">
        <f t="shared" si="44"/>
        <v>0.32824427480916019</v>
      </c>
      <c r="T16" s="11">
        <f t="shared" si="44"/>
        <v>0.33666530912181597</v>
      </c>
      <c r="U16" s="11">
        <f t="shared" si="44"/>
        <v>0.35</v>
      </c>
      <c r="V16" s="11">
        <f t="shared" si="44"/>
        <v>0.35</v>
      </c>
      <c r="W16" s="11">
        <f t="shared" si="44"/>
        <v>0.35</v>
      </c>
      <c r="X16" s="11">
        <f t="shared" si="44"/>
        <v>0.35</v>
      </c>
      <c r="Y16" s="11">
        <f t="shared" si="44"/>
        <v>0.35</v>
      </c>
      <c r="Z16" s="11">
        <f t="shared" si="44"/>
        <v>0.35</v>
      </c>
      <c r="AA16" s="11">
        <f t="shared" si="44"/>
        <v>0.35</v>
      </c>
      <c r="AB16" s="11">
        <f t="shared" si="44"/>
        <v>0.35000000000000003</v>
      </c>
      <c r="AC16" s="11">
        <f t="shared" si="44"/>
        <v>0.35</v>
      </c>
      <c r="AD16" s="11">
        <f t="shared" ref="AD16" si="45">AD5/AD3</f>
        <v>0.35</v>
      </c>
    </row>
    <row r="17" spans="2:33" x14ac:dyDescent="0.3">
      <c r="B17" s="2" t="s">
        <v>30</v>
      </c>
      <c r="C17" s="11">
        <f t="shared" ref="C17:D17" si="46">C7/C3</f>
        <v>0.15641476274165203</v>
      </c>
      <c r="D17" s="11">
        <f t="shared" si="46"/>
        <v>0.14149139579349912</v>
      </c>
      <c r="E17" s="11">
        <f>E7/E3</f>
        <v>0.12524850894632208</v>
      </c>
      <c r="F17" s="11">
        <f t="shared" ref="F17:J17" si="47">F7/F3</f>
        <v>0.12788906009244988</v>
      </c>
      <c r="G17" s="11">
        <f t="shared" si="47"/>
        <v>6.9212410501193283E-2</v>
      </c>
      <c r="H17" s="11">
        <f t="shared" si="47"/>
        <v>0.13293650793650794</v>
      </c>
      <c r="I17" s="11">
        <f t="shared" si="47"/>
        <v>-0.10752688172043011</v>
      </c>
      <c r="J17" s="11">
        <f t="shared" si="47"/>
        <v>-2.8213166144200694E-2</v>
      </c>
      <c r="K17" s="11">
        <f t="shared" ref="K17:L17" si="48">K7/K3</f>
        <v>-0.11869242001858493</v>
      </c>
      <c r="L17" s="11">
        <f t="shared" si="48"/>
        <v>2.0011689070718885E-2</v>
      </c>
      <c r="N17" s="11">
        <f t="shared" ref="N17:AC17" si="49">N7/N3</f>
        <v>0.18660287081339708</v>
      </c>
      <c r="O17" s="11">
        <f t="shared" si="49"/>
        <v>0.13274336283185847</v>
      </c>
      <c r="P17" s="11">
        <f t="shared" si="49"/>
        <v>0.14926739926739929</v>
      </c>
      <c r="Q17" s="11">
        <f t="shared" si="49"/>
        <v>0.12673611111111108</v>
      </c>
      <c r="R17" s="11">
        <f t="shared" si="49"/>
        <v>0.10400866738894905</v>
      </c>
      <c r="S17" s="11">
        <f t="shared" si="49"/>
        <v>-5.2344601962922704E-2</v>
      </c>
      <c r="T17" s="11">
        <f t="shared" si="49"/>
        <v>-2.624184366395468E-2</v>
      </c>
      <c r="U17" s="11">
        <f t="shared" si="49"/>
        <v>1.5494276562680862E-2</v>
      </c>
      <c r="V17" s="11">
        <f t="shared" si="49"/>
        <v>3.374004329562557E-2</v>
      </c>
      <c r="W17" s="11">
        <f t="shared" si="49"/>
        <v>4.8381707957865151E-2</v>
      </c>
      <c r="X17" s="11">
        <f t="shared" si="49"/>
        <v>5.4126818282477243E-2</v>
      </c>
      <c r="Y17" s="11">
        <f t="shared" si="49"/>
        <v>5.9816687161660359E-2</v>
      </c>
      <c r="Z17" s="11">
        <f t="shared" si="49"/>
        <v>6.2634000878537432E-2</v>
      </c>
      <c r="AA17" s="11">
        <f t="shared" si="49"/>
        <v>6.542396203505646E-2</v>
      </c>
      <c r="AB17" s="11">
        <f t="shared" si="49"/>
        <v>7.0949710345055428E-2</v>
      </c>
      <c r="AC17" s="11">
        <f t="shared" si="49"/>
        <v>7.3685497498535216E-2</v>
      </c>
      <c r="AD17" s="11">
        <f t="shared" ref="AD17" si="50">AD7/AD3</f>
        <v>7.6394463209333921E-2</v>
      </c>
      <c r="AF17" t="s">
        <v>32</v>
      </c>
      <c r="AG17" s="11">
        <v>-0.01</v>
      </c>
    </row>
    <row r="18" spans="2:33" x14ac:dyDescent="0.3">
      <c r="B18" s="2" t="s">
        <v>31</v>
      </c>
      <c r="C18" s="11"/>
      <c r="D18" s="11"/>
      <c r="E18" s="11">
        <f t="shared" ref="E18" si="51">E6/C6-1</f>
        <v>0.10377358490566024</v>
      </c>
      <c r="F18" s="11">
        <f t="shared" ref="F18" si="52">F6/D6-1</f>
        <v>0.34999999999999987</v>
      </c>
      <c r="G18" s="11">
        <f t="shared" ref="G18" si="53">G6/E6-1</f>
        <v>5.1282051282051322E-2</v>
      </c>
      <c r="H18" s="11">
        <f t="shared" ref="H18" si="54">H6/F6-1</f>
        <v>-8.1481481481481599E-2</v>
      </c>
      <c r="I18" s="11">
        <f t="shared" ref="I18" si="55">I6/G6-1</f>
        <v>5.6910569105691033E-2</v>
      </c>
      <c r="J18" s="11">
        <f t="shared" ref="J18" si="56">J6/H6-1</f>
        <v>0.7661290322580645</v>
      </c>
      <c r="K18" s="11">
        <f t="shared" ref="K18" si="57">K6/I6-1</f>
        <v>0.30000000000000027</v>
      </c>
      <c r="L18" s="11">
        <f t="shared" ref="L18" si="58">L6/J6-1</f>
        <v>0.10000000000000009</v>
      </c>
      <c r="N18" s="11"/>
      <c r="O18" s="11">
        <f t="shared" ref="O18:AD18" si="59">O6/N6-1</f>
        <v>1.1157894736842109</v>
      </c>
      <c r="P18" s="11">
        <f t="shared" si="59"/>
        <v>2.4875621890547261E-2</v>
      </c>
      <c r="Q18" s="11">
        <f t="shared" si="59"/>
        <v>0.22330097087378631</v>
      </c>
      <c r="R18" s="11">
        <f t="shared" si="59"/>
        <v>-1.9841269841269882E-2</v>
      </c>
      <c r="S18" s="11">
        <f t="shared" si="59"/>
        <v>0.41295546558704443</v>
      </c>
      <c r="T18" s="11">
        <f t="shared" si="59"/>
        <v>0.17449856733524371</v>
      </c>
      <c r="U18" s="11">
        <f t="shared" si="59"/>
        <v>6.0000000000000053E-2</v>
      </c>
      <c r="V18" s="11">
        <f t="shared" si="59"/>
        <v>4.0000000000000036E-2</v>
      </c>
      <c r="W18" s="11">
        <f t="shared" si="59"/>
        <v>3.0000000000000027E-2</v>
      </c>
      <c r="X18" s="11">
        <f t="shared" si="59"/>
        <v>3.0000000000000027E-2</v>
      </c>
      <c r="Y18" s="11">
        <f t="shared" si="59"/>
        <v>2.0000000000000018E-2</v>
      </c>
      <c r="Z18" s="11">
        <f t="shared" si="59"/>
        <v>2.0000000000000018E-2</v>
      </c>
      <c r="AA18" s="11">
        <f t="shared" si="59"/>
        <v>2.0000000000000018E-2</v>
      </c>
      <c r="AB18" s="11">
        <f t="shared" si="59"/>
        <v>1.0000000000000009E-2</v>
      </c>
      <c r="AC18" s="11">
        <f t="shared" si="59"/>
        <v>1.0000000000000009E-2</v>
      </c>
      <c r="AD18" s="11">
        <f t="shared" si="59"/>
        <v>1.0000000000000009E-2</v>
      </c>
      <c r="AF18" t="s">
        <v>33</v>
      </c>
      <c r="AG18" s="11">
        <v>0.12</v>
      </c>
    </row>
    <row r="19" spans="2:33" x14ac:dyDescent="0.3">
      <c r="B19" s="2" t="s">
        <v>25</v>
      </c>
      <c r="C19" s="11">
        <f t="shared" ref="C19:D19" si="60">C10/C9</f>
        <v>0.16091954022988503</v>
      </c>
      <c r="D19" s="11">
        <f t="shared" si="60"/>
        <v>6.8493150684931461E-2</v>
      </c>
      <c r="E19" s="11">
        <f>E10/E9</f>
        <v>0.17741935483870966</v>
      </c>
      <c r="F19" s="11">
        <f t="shared" ref="F19:J19" si="61">F10/F9</f>
        <v>-0.11111111111111116</v>
      </c>
      <c r="G19" s="11">
        <f t="shared" si="61"/>
        <v>0.24137931034482768</v>
      </c>
      <c r="H19" s="11">
        <f t="shared" si="61"/>
        <v>6.0606060606060629E-2</v>
      </c>
      <c r="I19" s="11">
        <f t="shared" si="61"/>
        <v>0</v>
      </c>
      <c r="J19" s="11">
        <f t="shared" si="61"/>
        <v>-0.49999999999999889</v>
      </c>
      <c r="K19" s="11">
        <f t="shared" ref="K19:L19" si="62">K10/K9</f>
        <v>0.1</v>
      </c>
      <c r="L19" s="11">
        <f t="shared" si="62"/>
        <v>0.1</v>
      </c>
      <c r="N19" s="11">
        <f t="shared" ref="N19:AC19" si="63">N10/N9</f>
        <v>0.18181818181818188</v>
      </c>
      <c r="O19" s="11">
        <f t="shared" si="63"/>
        <v>0.20689655172413779</v>
      </c>
      <c r="P19" s="11">
        <f t="shared" si="63"/>
        <v>0.11874999999999997</v>
      </c>
      <c r="Q19" s="11">
        <f t="shared" si="63"/>
        <v>1.3986013986013989E-2</v>
      </c>
      <c r="R19" s="11">
        <f t="shared" si="63"/>
        <v>0.11578947368421055</v>
      </c>
      <c r="S19" s="11">
        <f t="shared" si="63"/>
        <v>-0.19999999999999954</v>
      </c>
      <c r="T19" s="11">
        <f t="shared" si="63"/>
        <v>9.9999999999999534E-2</v>
      </c>
      <c r="U19" s="11">
        <f t="shared" si="63"/>
        <v>0.11</v>
      </c>
      <c r="V19" s="11">
        <f t="shared" si="63"/>
        <v>0.10999999999999999</v>
      </c>
      <c r="W19" s="11">
        <f t="shared" si="63"/>
        <v>0.11</v>
      </c>
      <c r="X19" s="11">
        <f t="shared" si="63"/>
        <v>0.11</v>
      </c>
      <c r="Y19" s="11">
        <f t="shared" si="63"/>
        <v>0.11000000000000001</v>
      </c>
      <c r="Z19" s="11">
        <f t="shared" si="63"/>
        <v>0.11</v>
      </c>
      <c r="AA19" s="11">
        <f t="shared" si="63"/>
        <v>0.11</v>
      </c>
      <c r="AB19" s="11">
        <f t="shared" si="63"/>
        <v>0.11</v>
      </c>
      <c r="AC19" s="11">
        <f t="shared" si="63"/>
        <v>0.11</v>
      </c>
      <c r="AD19" s="11">
        <f t="shared" ref="AD19" si="64">AD10/AD9</f>
        <v>0.11</v>
      </c>
      <c r="AF19" t="s">
        <v>34</v>
      </c>
      <c r="AG19" s="6">
        <f>NPV(AG18,T11:EL11)</f>
        <v>63.974056735683639</v>
      </c>
    </row>
    <row r="20" spans="2:33" x14ac:dyDescent="0.3">
      <c r="AF20" t="s">
        <v>36</v>
      </c>
      <c r="AG20" s="6">
        <f>Main!D8</f>
        <v>17.400000000000002</v>
      </c>
    </row>
    <row r="21" spans="2:33" x14ac:dyDescent="0.3">
      <c r="AF21" t="s">
        <v>35</v>
      </c>
      <c r="AG21" s="6">
        <f>AG19+AG20</f>
        <v>81.374056735683638</v>
      </c>
    </row>
    <row r="22" spans="2:33" x14ac:dyDescent="0.3">
      <c r="AF22" t="s">
        <v>37</v>
      </c>
      <c r="AG22" s="5">
        <f>AG21/AC12</f>
        <v>1.2255129026458378</v>
      </c>
    </row>
    <row r="23" spans="2:33" x14ac:dyDescent="0.3">
      <c r="AF23" t="s">
        <v>38</v>
      </c>
      <c r="AG23" s="5">
        <f>Main!D3</f>
        <v>1.35</v>
      </c>
    </row>
    <row r="24" spans="2:33" x14ac:dyDescent="0.3">
      <c r="AF24" s="1" t="s">
        <v>39</v>
      </c>
      <c r="AG24" s="12">
        <f>AG22/AG23-1</f>
        <v>-9.2212664706786907E-2</v>
      </c>
    </row>
    <row r="25" spans="2:33" x14ac:dyDescent="0.3">
      <c r="AF25" t="s">
        <v>40</v>
      </c>
      <c r="AG25" s="7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2021-03-11T14:10:28Z</dcterms:created>
  <dcterms:modified xsi:type="dcterms:W3CDTF">2021-05-12T18:56:52Z</dcterms:modified>
</cp:coreProperties>
</file>