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062D6869-D6B4-4145-806D-3359539EE5A5}" xr6:coauthVersionLast="46" xr6:coauthVersionMax="46" xr10:uidLastSave="{00000000-0000-0000-0000-000000000000}"/>
  <bookViews>
    <workbookView xWindow="-108" yWindow="-108" windowWidth="23256" windowHeight="12576" xr2:uid="{1BC3C7C4-0DB5-433B-B145-A1278B27549A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C7" i="2" l="1"/>
  <c r="AD7" i="2" s="1"/>
  <c r="AE7" i="2" s="1"/>
  <c r="AF7" i="2" s="1"/>
  <c r="AA7" i="2"/>
  <c r="Z7" i="2"/>
  <c r="Y7" i="2"/>
  <c r="AD6" i="2"/>
  <c r="AC6" i="2"/>
  <c r="AB6" i="2"/>
  <c r="AA6" i="2"/>
  <c r="Z6" i="2"/>
  <c r="Y6" i="2"/>
  <c r="Y13" i="2"/>
  <c r="Z13" i="2" s="1"/>
  <c r="AA13" i="2" s="1"/>
  <c r="AB13" i="2" s="1"/>
  <c r="AC13" i="2" s="1"/>
  <c r="AD13" i="2" s="1"/>
  <c r="AE13" i="2" s="1"/>
  <c r="AF13" i="2" s="1"/>
  <c r="X13" i="2"/>
  <c r="Y10" i="2"/>
  <c r="Z10" i="2" s="1"/>
  <c r="AA10" i="2" s="1"/>
  <c r="AB10" i="2" s="1"/>
  <c r="AC10" i="2" s="1"/>
  <c r="AD10" i="2" s="1"/>
  <c r="AE10" i="2" s="1"/>
  <c r="AF10" i="2" s="1"/>
  <c r="X10" i="2"/>
  <c r="Y8" i="2"/>
  <c r="Z8" i="2" s="1"/>
  <c r="AA8" i="2" s="1"/>
  <c r="AB8" i="2" s="1"/>
  <c r="AC8" i="2" s="1"/>
  <c r="AD8" i="2" s="1"/>
  <c r="AE8" i="2" s="1"/>
  <c r="AF8" i="2" s="1"/>
  <c r="X8" i="2"/>
  <c r="X6" i="2"/>
  <c r="Y26" i="2"/>
  <c r="X26" i="2"/>
  <c r="W26" i="2"/>
  <c r="V26" i="2"/>
  <c r="U26" i="2"/>
  <c r="W25" i="2"/>
  <c r="V25" i="2"/>
  <c r="U25" i="2"/>
  <c r="X3" i="2"/>
  <c r="W13" i="2"/>
  <c r="W12" i="2"/>
  <c r="W10" i="2"/>
  <c r="W8" i="2"/>
  <c r="W7" i="2"/>
  <c r="W6" i="2"/>
  <c r="W4" i="2"/>
  <c r="W3" i="2"/>
  <c r="W5" i="2" s="1"/>
  <c r="P3" i="2"/>
  <c r="P5" i="2" s="1"/>
  <c r="P18" i="2" s="1"/>
  <c r="O6" i="2"/>
  <c r="O25" i="2" s="1"/>
  <c r="Q6" i="2"/>
  <c r="Q25" i="2" s="1"/>
  <c r="O7" i="2"/>
  <c r="R7" i="2"/>
  <c r="R9" i="2" s="1"/>
  <c r="R19" i="2" s="1"/>
  <c r="Q7" i="2"/>
  <c r="P7" i="2"/>
  <c r="P26" i="2" s="1"/>
  <c r="P6" i="2"/>
  <c r="R21" i="2"/>
  <c r="Q21" i="2"/>
  <c r="O21" i="2"/>
  <c r="R18" i="2"/>
  <c r="Q18" i="2"/>
  <c r="O18" i="2"/>
  <c r="Q10" i="2"/>
  <c r="R10" i="2" s="1"/>
  <c r="P10" i="2"/>
  <c r="R26" i="2"/>
  <c r="R6" i="2"/>
  <c r="R25" i="2" s="1"/>
  <c r="N26" i="2"/>
  <c r="M26" i="2"/>
  <c r="L26" i="2"/>
  <c r="K26" i="2"/>
  <c r="J26" i="2"/>
  <c r="I26" i="2"/>
  <c r="H26" i="2"/>
  <c r="N25" i="2"/>
  <c r="M25" i="2"/>
  <c r="L25" i="2"/>
  <c r="K25" i="2"/>
  <c r="J25" i="2"/>
  <c r="I25" i="2"/>
  <c r="H25" i="2"/>
  <c r="G25" i="2"/>
  <c r="R5" i="2"/>
  <c r="Q5" i="2"/>
  <c r="R4" i="2"/>
  <c r="Q4" i="2"/>
  <c r="O5" i="2"/>
  <c r="O4" i="2" s="1"/>
  <c r="Q3" i="2"/>
  <c r="R3" i="2"/>
  <c r="D7" i="1"/>
  <c r="D6" i="1"/>
  <c r="O3" i="2"/>
  <c r="N13" i="2"/>
  <c r="N12" i="2"/>
  <c r="N10" i="2"/>
  <c r="N7" i="2"/>
  <c r="N6" i="2"/>
  <c r="N4" i="2"/>
  <c r="N3" i="2"/>
  <c r="V3" i="2" s="1"/>
  <c r="M8" i="2"/>
  <c r="M5" i="2"/>
  <c r="G26" i="2"/>
  <c r="AE6" i="2" l="1"/>
  <c r="AF6" i="2" s="1"/>
  <c r="AA25" i="2"/>
  <c r="Z25" i="2"/>
  <c r="Y25" i="2"/>
  <c r="X25" i="2"/>
  <c r="P4" i="2"/>
  <c r="P21" i="2"/>
  <c r="O9" i="2"/>
  <c r="O11" i="2" s="1"/>
  <c r="Q9" i="2"/>
  <c r="Q19" i="2" s="1"/>
  <c r="O19" i="2"/>
  <c r="O26" i="2"/>
  <c r="Q26" i="2"/>
  <c r="P9" i="2"/>
  <c r="P19" i="2" s="1"/>
  <c r="P25" i="2"/>
  <c r="AI28" i="2"/>
  <c r="AB25" i="2" l="1"/>
  <c r="O12" i="2"/>
  <c r="O23" i="2" s="1"/>
  <c r="P11" i="2"/>
  <c r="P12" i="2"/>
  <c r="P23" i="2" s="1"/>
  <c r="R11" i="2"/>
  <c r="Q11" i="2"/>
  <c r="V13" i="2"/>
  <c r="M21" i="2"/>
  <c r="L21" i="2"/>
  <c r="K21" i="2"/>
  <c r="I21" i="2"/>
  <c r="H21" i="2"/>
  <c r="G21" i="2"/>
  <c r="F18" i="2"/>
  <c r="F10" i="2"/>
  <c r="T10" i="2" s="1"/>
  <c r="F7" i="2"/>
  <c r="F6" i="2"/>
  <c r="F4" i="2"/>
  <c r="F3" i="2"/>
  <c r="F5" i="2" s="1"/>
  <c r="T4" i="2"/>
  <c r="T3" i="2"/>
  <c r="F13" i="2"/>
  <c r="T13" i="2" s="1"/>
  <c r="AC25" i="2" l="1"/>
  <c r="O14" i="2"/>
  <c r="O16" i="2" s="1"/>
  <c r="R12" i="2"/>
  <c r="R23" i="2" s="1"/>
  <c r="Q12" i="2"/>
  <c r="Q23" i="2" s="1"/>
  <c r="Q14" i="2"/>
  <c r="Q16" i="2" s="1"/>
  <c r="P14" i="2"/>
  <c r="P16" i="2" s="1"/>
  <c r="T6" i="2"/>
  <c r="T7" i="2"/>
  <c r="V10" i="2"/>
  <c r="T5" i="2"/>
  <c r="J13" i="2"/>
  <c r="U13" i="2" s="1"/>
  <c r="J12" i="2"/>
  <c r="J10" i="2"/>
  <c r="U10" i="2" s="1"/>
  <c r="J7" i="2"/>
  <c r="J6" i="2"/>
  <c r="J4" i="2"/>
  <c r="U4" i="2" s="1"/>
  <c r="J3" i="2"/>
  <c r="C8" i="2"/>
  <c r="C5" i="2"/>
  <c r="C18" i="2" s="1"/>
  <c r="D8" i="2"/>
  <c r="D5" i="2"/>
  <c r="D18" i="2" s="1"/>
  <c r="E12" i="2"/>
  <c r="E8" i="2"/>
  <c r="E5" i="2"/>
  <c r="E18" i="2" s="1"/>
  <c r="I8" i="2"/>
  <c r="I5" i="2"/>
  <c r="I18" i="2" s="1"/>
  <c r="G8" i="2"/>
  <c r="G5" i="2"/>
  <c r="G18" i="2" s="1"/>
  <c r="K8" i="2"/>
  <c r="K5" i="2"/>
  <c r="K18" i="2" s="1"/>
  <c r="H8" i="2"/>
  <c r="H5" i="2"/>
  <c r="H18" i="2" s="1"/>
  <c r="L8" i="2"/>
  <c r="AD25" i="2" l="1"/>
  <c r="R14" i="2"/>
  <c r="R16" i="2" s="1"/>
  <c r="J8" i="2"/>
  <c r="U8" i="2" s="1"/>
  <c r="N8" i="2"/>
  <c r="V8" i="2" s="1"/>
  <c r="U7" i="2"/>
  <c r="T18" i="2"/>
  <c r="U3" i="2"/>
  <c r="Y3" i="2" s="1"/>
  <c r="Z3" i="2" s="1"/>
  <c r="J21" i="2"/>
  <c r="N21" i="2"/>
  <c r="M18" i="2"/>
  <c r="M9" i="2"/>
  <c r="U6" i="2"/>
  <c r="F8" i="2"/>
  <c r="F9" i="2" s="1"/>
  <c r="N5" i="2"/>
  <c r="F12" i="2"/>
  <c r="T12" i="2" s="1"/>
  <c r="J5" i="2"/>
  <c r="U12" i="2"/>
  <c r="C9" i="2"/>
  <c r="D9" i="2"/>
  <c r="E9" i="2"/>
  <c r="I9" i="2"/>
  <c r="U5" i="2"/>
  <c r="G9" i="2"/>
  <c r="K9" i="2"/>
  <c r="H9" i="2"/>
  <c r="L5" i="2"/>
  <c r="D8" i="1"/>
  <c r="AI25" i="2" s="1"/>
  <c r="D5" i="1"/>
  <c r="F3" i="1"/>
  <c r="AF25" i="2" l="1"/>
  <c r="AE25" i="2"/>
  <c r="D9" i="1"/>
  <c r="J18" i="2"/>
  <c r="J9" i="2"/>
  <c r="N18" i="2"/>
  <c r="N9" i="2"/>
  <c r="F11" i="2"/>
  <c r="F14" i="2" s="1"/>
  <c r="F16" i="2" s="1"/>
  <c r="F19" i="2"/>
  <c r="U21" i="2"/>
  <c r="K11" i="2"/>
  <c r="K19" i="2"/>
  <c r="U9" i="2"/>
  <c r="U18" i="2"/>
  <c r="E11" i="2"/>
  <c r="E19" i="2"/>
  <c r="H11" i="2"/>
  <c r="H19" i="2"/>
  <c r="V7" i="2"/>
  <c r="V6" i="2"/>
  <c r="M19" i="2"/>
  <c r="M11" i="2"/>
  <c r="V21" i="2"/>
  <c r="G11" i="2"/>
  <c r="G19" i="2"/>
  <c r="I11" i="2"/>
  <c r="I19" i="2"/>
  <c r="D11" i="2"/>
  <c r="D19" i="2"/>
  <c r="L18" i="2"/>
  <c r="L9" i="2"/>
  <c r="C11" i="2"/>
  <c r="C19" i="2"/>
  <c r="V4" i="2"/>
  <c r="V5" i="2" s="1"/>
  <c r="T8" i="2"/>
  <c r="T9" i="2" s="1"/>
  <c r="F23" i="2" l="1"/>
  <c r="C14" i="2"/>
  <c r="C16" i="2" s="1"/>
  <c r="C23" i="2"/>
  <c r="G14" i="2"/>
  <c r="G16" i="2" s="1"/>
  <c r="G23" i="2"/>
  <c r="U11" i="2"/>
  <c r="U19" i="2"/>
  <c r="L19" i="2"/>
  <c r="L11" i="2"/>
  <c r="H14" i="2"/>
  <c r="H16" i="2" s="1"/>
  <c r="H23" i="2"/>
  <c r="N19" i="2"/>
  <c r="N11" i="2"/>
  <c r="E14" i="2"/>
  <c r="E16" i="2" s="1"/>
  <c r="E23" i="2"/>
  <c r="K14" i="2"/>
  <c r="K16" i="2" s="1"/>
  <c r="K23" i="2"/>
  <c r="I14" i="2"/>
  <c r="I16" i="2" s="1"/>
  <c r="I23" i="2"/>
  <c r="J19" i="2"/>
  <c r="J11" i="2"/>
  <c r="V9" i="2"/>
  <c r="V18" i="2"/>
  <c r="D14" i="2"/>
  <c r="D16" i="2" s="1"/>
  <c r="D23" i="2"/>
  <c r="T11" i="2"/>
  <c r="T19" i="2"/>
  <c r="W21" i="2"/>
  <c r="X7" i="2" l="1"/>
  <c r="T16" i="2"/>
  <c r="U14" i="2"/>
  <c r="U23" i="2"/>
  <c r="N23" i="2"/>
  <c r="T14" i="2"/>
  <c r="T23" i="2"/>
  <c r="M23" i="2"/>
  <c r="J14" i="2"/>
  <c r="J16" i="2" s="1"/>
  <c r="U16" i="2" s="1"/>
  <c r="J23" i="2"/>
  <c r="X5" i="2"/>
  <c r="X18" i="2" s="1"/>
  <c r="X21" i="2"/>
  <c r="V11" i="2"/>
  <c r="V19" i="2"/>
  <c r="M14" i="2"/>
  <c r="M16" i="2" s="1"/>
  <c r="L23" i="2"/>
  <c r="L14" i="2"/>
  <c r="L16" i="2" s="1"/>
  <c r="N14" i="2" l="1"/>
  <c r="N16" i="2" s="1"/>
  <c r="V16" i="2" s="1"/>
  <c r="V12" i="2"/>
  <c r="V23" i="2" s="1"/>
  <c r="Y5" i="2"/>
  <c r="Y21" i="2"/>
  <c r="X9" i="2"/>
  <c r="X4" i="2"/>
  <c r="V14" i="2" l="1"/>
  <c r="Z26" i="2"/>
  <c r="Y18" i="2"/>
  <c r="Y9" i="2"/>
  <c r="AA3" i="2"/>
  <c r="AB3" i="2" s="1"/>
  <c r="Z21" i="2"/>
  <c r="Z5" i="2"/>
  <c r="Z18" i="2" s="1"/>
  <c r="X11" i="2"/>
  <c r="X19" i="2"/>
  <c r="Y4" i="2"/>
  <c r="AA26" i="2" l="1"/>
  <c r="AC3" i="2"/>
  <c r="AD3" i="2" s="1"/>
  <c r="X12" i="2"/>
  <c r="X23" i="2" s="1"/>
  <c r="Z9" i="2"/>
  <c r="AA5" i="2"/>
  <c r="AA21" i="2"/>
  <c r="Y11" i="2"/>
  <c r="Y19" i="2"/>
  <c r="Z4" i="2"/>
  <c r="AB7" i="2" l="1"/>
  <c r="AB26" i="2" s="1"/>
  <c r="X14" i="2"/>
  <c r="X16" i="2" s="1"/>
  <c r="AA18" i="2"/>
  <c r="AA9" i="2"/>
  <c r="AB5" i="2"/>
  <c r="AB18" i="2" s="1"/>
  <c r="AB21" i="2"/>
  <c r="Y12" i="2"/>
  <c r="Y23" i="2" s="1"/>
  <c r="Z11" i="2"/>
  <c r="Z19" i="2"/>
  <c r="AA4" i="2"/>
  <c r="AC26" i="2" l="1"/>
  <c r="AB4" i="2"/>
  <c r="Y14" i="2"/>
  <c r="Y16" i="2" s="1"/>
  <c r="AC5" i="2"/>
  <c r="AC18" i="2" s="1"/>
  <c r="AC21" i="2"/>
  <c r="Z12" i="2"/>
  <c r="Z23" i="2" s="1"/>
  <c r="AB9" i="2"/>
  <c r="AA11" i="2"/>
  <c r="AA19" i="2"/>
  <c r="AD26" i="2" l="1"/>
  <c r="Z14" i="2"/>
  <c r="Z16" i="2" s="1"/>
  <c r="AC4" i="2"/>
  <c r="AA12" i="2"/>
  <c r="AA23" i="2" s="1"/>
  <c r="AD21" i="2"/>
  <c r="AD5" i="2"/>
  <c r="AD18" i="2" s="1"/>
  <c r="AE3" i="2"/>
  <c r="AC9" i="2"/>
  <c r="AB11" i="2"/>
  <c r="AB19" i="2"/>
  <c r="AE26" i="2" l="1"/>
  <c r="AA14" i="2"/>
  <c r="AA16" i="2" s="1"/>
  <c r="AD4" i="2"/>
  <c r="AE21" i="2"/>
  <c r="AE5" i="2"/>
  <c r="AE4" i="2" s="1"/>
  <c r="AF3" i="2"/>
  <c r="AB12" i="2"/>
  <c r="AB23" i="2" s="1"/>
  <c r="AD9" i="2"/>
  <c r="AC11" i="2"/>
  <c r="AC19" i="2"/>
  <c r="AF26" i="2" l="1"/>
  <c r="AB14" i="2"/>
  <c r="AF21" i="2"/>
  <c r="AF5" i="2"/>
  <c r="AF18" i="2" s="1"/>
  <c r="AE18" i="2"/>
  <c r="AE9" i="2"/>
  <c r="AC12" i="2"/>
  <c r="AC23" i="2" s="1"/>
  <c r="AD11" i="2"/>
  <c r="AD19" i="2"/>
  <c r="AF4" i="2" l="1"/>
  <c r="AB16" i="2"/>
  <c r="AE11" i="2"/>
  <c r="AE19" i="2"/>
  <c r="AD12" i="2"/>
  <c r="AD23" i="2" s="1"/>
  <c r="AC14" i="2"/>
  <c r="AC16" i="2" s="1"/>
  <c r="AF9" i="2"/>
  <c r="AD14" i="2" l="1"/>
  <c r="AD16" i="2" s="1"/>
  <c r="AF11" i="2"/>
  <c r="AF19" i="2"/>
  <c r="AE12" i="2"/>
  <c r="AE23" i="2" s="1"/>
  <c r="AE14" i="2" l="1"/>
  <c r="AE16" i="2" s="1"/>
  <c r="AF12" i="2"/>
  <c r="AF23" i="2" s="1"/>
  <c r="AF14" i="2" l="1"/>
  <c r="AF16" i="2" l="1"/>
  <c r="AG14" i="2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W9" i="2" l="1"/>
  <c r="W11" i="2" s="1"/>
  <c r="W18" i="2"/>
  <c r="W23" i="2" l="1"/>
  <c r="W14" i="2"/>
  <c r="W19" i="2"/>
  <c r="W16" i="2" l="1"/>
  <c r="AI24" i="2"/>
  <c r="AI26" i="2" s="1"/>
  <c r="AI27" i="2" s="1"/>
  <c r="AI2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C8" authorId="0" shapeId="0" xr:uid="{1A9D67DB-B919-487A-B8D2-2662158050D7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legal dispute</t>
        </r>
      </text>
    </comment>
    <comment ref="G8" authorId="0" shapeId="0" xr:uid="{DB15ECDB-7142-4254-BE8E-B26E1B644F32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court case</t>
        </r>
      </text>
    </comment>
    <comment ref="E12" authorId="0" shapeId="0" xr:uid="{1E953163-0FA6-4E70-B9D4-2591CCD4DEFC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one-off domestic patent tax benefit</t>
        </r>
      </text>
    </comment>
    <comment ref="F12" authorId="0" shapeId="0" xr:uid="{C913CBB3-6C30-4DB8-ADCD-B6BE93941ACE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tax benefit calculation</t>
        </r>
      </text>
    </comment>
  </commentList>
</comments>
</file>

<file path=xl/sharedStrings.xml><?xml version="1.0" encoding="utf-8"?>
<sst xmlns="http://schemas.openxmlformats.org/spreadsheetml/2006/main" count="66" uniqueCount="58">
  <si>
    <t>RACE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</si>
  <si>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</si>
  <si>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</si>
  <si>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</si>
  <si>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</si>
  <si>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</si>
  <si>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</si>
  <si>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</si>
  <si>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</si>
  <si>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</si>
  <si>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Q220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</si>
  <si>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</si>
  <si>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</si>
  <si>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</si>
  <si>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</si>
  <si>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</si>
  <si>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</si>
  <si>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</si>
  <si>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</si>
  <si>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</si>
  <si>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</si>
  <si>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Q320</t>
  </si>
  <si>
    <t>Q420</t>
  </si>
  <si>
    <t>Cost of sales</t>
  </si>
  <si>
    <t>Gross profit</t>
  </si>
  <si>
    <t>SG&amp;A</t>
  </si>
  <si>
    <t>R&amp;D</t>
  </si>
  <si>
    <t>Operating profit</t>
  </si>
  <si>
    <t>Other operating expense</t>
  </si>
  <si>
    <t>Net financial expense</t>
  </si>
  <si>
    <t>Pretax income</t>
  </si>
  <si>
    <t>Taxes</t>
  </si>
  <si>
    <t>Minority interest</t>
  </si>
  <si>
    <t>Net profit</t>
  </si>
  <si>
    <t>EPS</t>
  </si>
  <si>
    <t>Non-GAAP</t>
  </si>
  <si>
    <t>Gross Margin</t>
  </si>
  <si>
    <t>Operating Margin</t>
  </si>
  <si>
    <t>Revenue y/y</t>
  </si>
  <si>
    <t>Maturity</t>
  </si>
  <si>
    <t>Discount rate</t>
  </si>
  <si>
    <t>NPV</t>
  </si>
  <si>
    <t>Value</t>
  </si>
  <si>
    <t>Per share</t>
  </si>
  <si>
    <t>Current price</t>
  </si>
  <si>
    <t>Variance</t>
  </si>
  <si>
    <t>Net cash</t>
  </si>
  <si>
    <t>very good growth but are my forecasts conservative or is this truly overvalued?</t>
  </si>
  <si>
    <t>Consensus</t>
  </si>
  <si>
    <t>R&amp;D y/y</t>
  </si>
  <si>
    <t>Earnings</t>
  </si>
  <si>
    <t>Q121</t>
  </si>
  <si>
    <t>Q221</t>
  </si>
  <si>
    <t>Q321</t>
  </si>
  <si>
    <t>Q421</t>
  </si>
  <si>
    <t>SG&amp;A y/y</t>
  </si>
  <si>
    <t>Slightly overvalued</t>
  </si>
  <si>
    <t>Net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</si>
</sst>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\ [$€-1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2" fontId="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3" fontId="0" fillId="0" borderId="0" xfId="0" applyNumberFormat="1" applyFont="1"/>
    <xf numFmtId="4" fontId="1" fillId="0" borderId="0" xfId="0" applyNumberFormat="1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0</xdr:row>
      <xdr:rowOff>0</xdr:rowOff>
    </xdr:from>
    <xdr:to>
      <xdr:col>14</xdr:col>
      <xdr:colOff>30480</xdr:colOff>
      <xdr:row>33</xdr:row>
      <xdr:rowOff>83820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0D11C36-7F11-495F-8DB8-0759B93EE53B}"/>
            </a:ext>
          </a:extLst>
        </xdr:cNvPr>
        <xdr:cNvCxnSpPr/>
      </xdr:nvCxnSpPr>
      <xdr:spPr>
        <a:xfrm>
          <a:off x="9418320" y="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C59C-EBC3-4644-8F22-E201AC5E65B6}">
  <dimension ref="B2:G9"/>
  <sheetViews>
    <sheetView tabSelected="1" workbookViewId="0">
      <selection activeCell="G3" activeCellId="1" sqref="D6 G3"/>
    </sheetView>
  </sheetViews>
  <sheetFormatPr defaultRowHeight="14.4" x14ac:dyDescent="0.3"/>
  <cols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50</v>
      </c>
    </row>
    <row r="3" spans="2:7" x14ac:dyDescent="0.3">
      <c r="B3" s="1" t="s">
        <v>0</v>
      </c>
      <c r="C3" t="s">
        <v>1</v>
      </c>
      <c r="D3" s="5">
        <v>163.80000000000001</v>
      </c>
      <c r="E3" s="3">
        <v>44257</v>
      </c>
      <c r="F3" s="3">
        <f ca="1">TODAY()</f>
        <v>44257</v>
      </c>
      <c r="G3" s="3">
        <v>44320</v>
      </c>
    </row>
    <row r="4" spans="2:7" x14ac:dyDescent="0.3">
      <c r="C4" t="s">
        <v>2</v>
      </c>
      <c r="D4" s="4">
        <v>193.9</v>
      </c>
      <c r="E4" s="2" t="s">
        <v>22</v>
      </c>
    </row>
    <row r="5" spans="2:7" x14ac:dyDescent="0.3">
      <c r="C5" t="s">
        <v>3</v>
      </c>
      <c r="D5" s="6">
        <f>D3*D4</f>
        <v>31760.820000000003</v>
      </c>
    </row>
    <row r="6" spans="2:7" x14ac:dyDescent="0.3">
      <c r="C6" t="s">
        <v>4</v>
      </c>
      <c r="D6" s="6">
        <f>194.1+6+8778.1</f>
        <v>8978.2000000000007</v>
      </c>
      <c r="E6" s="2" t="s">
        <v>22</v>
      </c>
    </row>
    <row r="7" spans="2:7" x14ac:dyDescent="0.3">
      <c r="C7" t="s">
        <v>5</v>
      </c>
      <c r="D7" s="6">
        <f>1336.8+2180.8</f>
        <v>3517.6000000000004</v>
      </c>
      <c r="E7" s="2" t="s">
        <v>22</v>
      </c>
    </row>
    <row r="8" spans="2:7" x14ac:dyDescent="0.3">
      <c r="C8" t="s">
        <v>6</v>
      </c>
      <c r="D8" s="6">
        <f>D6-D7</f>
        <v>5460.6</v>
      </c>
    </row>
    <row r="9" spans="2:7" x14ac:dyDescent="0.3">
      <c r="C9" t="s">
        <v>7</v>
      </c>
      <c r="D9" s="6">
        <f>D5-D8</f>
        <v>26300.22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E3C5-972E-4112-8CCE-ED31F95A26C2}">
  <dimension ref="B1:DL32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T20" sqref="T20:AF20"/>
    </sheetView>
  </sheetViews>
  <sheetFormatPr defaultRowHeight="14.4" x14ac:dyDescent="0.3"/>
  <cols>
    <col min="2" max="2" width="21.33203125" bestFit="1" customWidth="1"/>
    <col min="34" max="34" width="11.88671875" bestFit="1" customWidth="1"/>
    <col min="35" max="35" width="16.44140625" bestFit="1" customWidth="1"/>
  </cols>
  <sheetData>
    <row r="1" spans="2:116" x14ac:dyDescent="0.3">
      <c r="C1" t="s">
        <v>35</v>
      </c>
      <c r="E1" t="s">
        <v>35</v>
      </c>
      <c r="F1" t="s">
        <v>35</v>
      </c>
      <c r="G1" t="s">
        <v>35</v>
      </c>
    </row>
    <row r="2" spans="2:116" x14ac:dyDescent="0.3"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14" t="s">
        <v>20</v>
      </c>
      <c r="L2" s="14" t="s">
        <v>10</v>
      </c>
      <c r="M2" s="14" t="s">
        <v>21</v>
      </c>
      <c r="N2" s="14" t="s">
        <v>22</v>
      </c>
      <c r="O2" s="14" t="s">
        <v>51</v>
      </c>
      <c r="P2" s="14" t="s">
        <v>52</v>
      </c>
      <c r="Q2" s="14" t="s">
        <v>53</v>
      </c>
      <c r="R2" s="14" t="s">
        <v>54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  <c r="Z2">
        <v>2024</v>
      </c>
      <c r="AA2">
        <v>2025</v>
      </c>
      <c r="AB2">
        <v>2026</v>
      </c>
      <c r="AC2">
        <v>2027</v>
      </c>
      <c r="AD2">
        <v>2028</v>
      </c>
      <c r="AE2">
        <v>2029</v>
      </c>
      <c r="AF2">
        <v>2030</v>
      </c>
    </row>
    <row r="3" spans="2:116" s="1" customFormat="1" x14ac:dyDescent="0.3">
      <c r="B3" s="1" t="s">
        <v>11</v>
      </c>
      <c r="C3" s="15">
        <v>831</v>
      </c>
      <c r="D3" s="15">
        <v>905.6</v>
      </c>
      <c r="E3" s="15">
        <v>838.1</v>
      </c>
      <c r="F3" s="15">
        <f>3420.3-E3-D3-C3</f>
        <v>845.60000000000036</v>
      </c>
      <c r="G3" s="15">
        <v>940.1</v>
      </c>
      <c r="H3" s="15">
        <v>983.6</v>
      </c>
      <c r="I3" s="15">
        <v>915.3</v>
      </c>
      <c r="J3" s="15">
        <f>3766.6-I3-H3-G3</f>
        <v>927.60000000000025</v>
      </c>
      <c r="K3" s="15">
        <v>932.1</v>
      </c>
      <c r="L3" s="15">
        <v>570.79999999999995</v>
      </c>
      <c r="M3" s="15">
        <v>888</v>
      </c>
      <c r="N3" s="15">
        <f>3459.8-M3-L3-K3</f>
        <v>1068.9000000000001</v>
      </c>
      <c r="O3" s="15">
        <f>K3*1.02</f>
        <v>950.74200000000008</v>
      </c>
      <c r="P3" s="15">
        <f>L3*1.8</f>
        <v>1027.44</v>
      </c>
      <c r="Q3" s="15">
        <f>M3*1.15</f>
        <v>1021.1999999999999</v>
      </c>
      <c r="R3" s="15">
        <f>N3*1.03</f>
        <v>1100.9670000000001</v>
      </c>
      <c r="S3" s="10"/>
      <c r="T3" s="15">
        <f>SUM(C3:F3)</f>
        <v>3420.3</v>
      </c>
      <c r="U3" s="15">
        <f>SUM(G3:J3)</f>
        <v>3766.6000000000004</v>
      </c>
      <c r="V3" s="15">
        <f>SUM(K3:N3)</f>
        <v>3459.8</v>
      </c>
      <c r="W3" s="15">
        <f>SUM(O3:R3)</f>
        <v>4100.3490000000002</v>
      </c>
      <c r="X3" s="15">
        <f>W3*1.14</f>
        <v>4674.39786</v>
      </c>
      <c r="Y3" s="15">
        <f>X3*1.1</f>
        <v>5141.8376460000009</v>
      </c>
      <c r="Z3" s="15">
        <f>Y3*1.08</f>
        <v>5553.1846576800017</v>
      </c>
      <c r="AA3" s="15">
        <f>Z3*1.05</f>
        <v>5830.8438905640023</v>
      </c>
      <c r="AB3" s="15">
        <f>AA3*1.04</f>
        <v>6064.0776461865626</v>
      </c>
      <c r="AC3" s="15">
        <f t="shared" ref="AC3:AD3" si="0">AB3*1.03</f>
        <v>6245.9999755721592</v>
      </c>
      <c r="AD3" s="15">
        <f t="shared" si="0"/>
        <v>6433.3799748393239</v>
      </c>
      <c r="AE3" s="15">
        <f t="shared" ref="AE3:AF3" si="1">AD3*1.02</f>
        <v>6562.0475743361103</v>
      </c>
      <c r="AF3" s="15">
        <f t="shared" si="1"/>
        <v>6693.2885258228325</v>
      </c>
    </row>
    <row r="4" spans="2:116" x14ac:dyDescent="0.3">
      <c r="B4" t="s">
        <v>23</v>
      </c>
      <c r="C4" s="4">
        <v>390.8</v>
      </c>
      <c r="D4" s="4">
        <v>431.4</v>
      </c>
      <c r="E4" s="4">
        <v>400.9</v>
      </c>
      <c r="F4" s="4">
        <f>1622.9-E4-D4-C4</f>
        <v>399.8</v>
      </c>
      <c r="G4" s="4">
        <v>461.6</v>
      </c>
      <c r="H4" s="4">
        <v>480.3</v>
      </c>
      <c r="I4" s="4">
        <v>425.5</v>
      </c>
      <c r="J4" s="4">
        <f>1805.3-I4-H4-G4</f>
        <v>437.9</v>
      </c>
      <c r="K4" s="4">
        <v>450.8</v>
      </c>
      <c r="L4" s="4">
        <v>299.2</v>
      </c>
      <c r="M4" s="4">
        <v>425.6</v>
      </c>
      <c r="N4" s="4">
        <f>1686.3-M4-L4-K4</f>
        <v>510.69999999999976</v>
      </c>
      <c r="O4" s="4">
        <f>O3-O5</f>
        <v>456.35616000000005</v>
      </c>
      <c r="P4" s="4">
        <f t="shared" ref="P4:R4" si="2">P3-P5</f>
        <v>493.1712</v>
      </c>
      <c r="Q4" s="4">
        <f t="shared" si="2"/>
        <v>490.17599999999993</v>
      </c>
      <c r="R4" s="4">
        <f t="shared" si="2"/>
        <v>528.46415999999999</v>
      </c>
      <c r="S4" s="11"/>
      <c r="T4" s="16">
        <f>SUM(C4:F4)</f>
        <v>1622.8999999999999</v>
      </c>
      <c r="U4" s="16">
        <f>SUM(G4:J4)</f>
        <v>1805.3000000000002</v>
      </c>
      <c r="V4" s="16">
        <f>SUM(K4:N4)</f>
        <v>1686.2999999999997</v>
      </c>
      <c r="W4" s="16">
        <f>SUM(O4:R4)</f>
        <v>1968.16752</v>
      </c>
      <c r="X4" s="4">
        <f t="shared" ref="X4:AF4" si="3">X3-X5</f>
        <v>2243.7109728</v>
      </c>
      <c r="Y4" s="4">
        <f t="shared" si="3"/>
        <v>2468.0820700800004</v>
      </c>
      <c r="Z4" s="4">
        <f t="shared" si="3"/>
        <v>2665.5286356864008</v>
      </c>
      <c r="AA4" s="4">
        <f t="shared" si="3"/>
        <v>2798.805067470721</v>
      </c>
      <c r="AB4" s="4">
        <f t="shared" si="3"/>
        <v>2910.7572701695499</v>
      </c>
      <c r="AC4" s="4">
        <f t="shared" si="3"/>
        <v>2998.0799882746364</v>
      </c>
      <c r="AD4" s="4">
        <f t="shared" si="3"/>
        <v>3088.0223879228752</v>
      </c>
      <c r="AE4" s="4">
        <f t="shared" si="3"/>
        <v>3149.7828356813329</v>
      </c>
      <c r="AF4" s="4">
        <f t="shared" si="3"/>
        <v>3212.7784923949594</v>
      </c>
    </row>
    <row r="5" spans="2:116" s="1" customFormat="1" x14ac:dyDescent="0.3">
      <c r="B5" s="1" t="s">
        <v>24</v>
      </c>
      <c r="C5" s="15">
        <f>C3-C4</f>
        <v>440.2</v>
      </c>
      <c r="D5" s="15">
        <f>D3-D4</f>
        <v>474.20000000000005</v>
      </c>
      <c r="E5" s="15">
        <f>E3-E4</f>
        <v>437.20000000000005</v>
      </c>
      <c r="F5" s="15">
        <f t="shared" ref="F5:M5" si="4">F3-F4</f>
        <v>445.80000000000035</v>
      </c>
      <c r="G5" s="15">
        <f t="shared" si="4"/>
        <v>478.5</v>
      </c>
      <c r="H5" s="15">
        <f t="shared" si="4"/>
        <v>503.3</v>
      </c>
      <c r="I5" s="15">
        <f t="shared" si="4"/>
        <v>489.79999999999995</v>
      </c>
      <c r="J5" s="15">
        <f t="shared" si="4"/>
        <v>489.70000000000027</v>
      </c>
      <c r="K5" s="15">
        <f t="shared" si="4"/>
        <v>481.3</v>
      </c>
      <c r="L5" s="15">
        <f t="shared" si="4"/>
        <v>271.59999999999997</v>
      </c>
      <c r="M5" s="15">
        <f t="shared" si="4"/>
        <v>462.4</v>
      </c>
      <c r="N5" s="15">
        <f>N3*0.52</f>
        <v>555.82800000000009</v>
      </c>
      <c r="O5" s="15">
        <f>O3*0.52</f>
        <v>494.38584000000003</v>
      </c>
      <c r="P5" s="15">
        <f t="shared" ref="P5:R5" si="5">P3*0.52</f>
        <v>534.26880000000006</v>
      </c>
      <c r="Q5" s="15">
        <f t="shared" si="5"/>
        <v>531.024</v>
      </c>
      <c r="R5" s="15">
        <f t="shared" si="5"/>
        <v>572.50284000000011</v>
      </c>
      <c r="S5" s="10"/>
      <c r="T5" s="15">
        <f>T3-T4</f>
        <v>1797.4000000000003</v>
      </c>
      <c r="U5" s="15">
        <f>U3-U4</f>
        <v>1961.3000000000002</v>
      </c>
      <c r="V5" s="15">
        <f>V3-V4</f>
        <v>1773.5000000000005</v>
      </c>
      <c r="W5" s="15">
        <f>W3*0.52</f>
        <v>2132.1814800000002</v>
      </c>
      <c r="X5" s="15">
        <f t="shared" ref="X5:AF5" si="6">X3*0.52</f>
        <v>2430.6868872</v>
      </c>
      <c r="Y5" s="15">
        <f t="shared" si="6"/>
        <v>2673.7555759200004</v>
      </c>
      <c r="Z5" s="15">
        <f t="shared" si="6"/>
        <v>2887.6560219936009</v>
      </c>
      <c r="AA5" s="15">
        <f t="shared" si="6"/>
        <v>3032.0388230932813</v>
      </c>
      <c r="AB5" s="15">
        <f t="shared" si="6"/>
        <v>3153.3203760170127</v>
      </c>
      <c r="AC5" s="15">
        <f t="shared" si="6"/>
        <v>3247.9199872975228</v>
      </c>
      <c r="AD5" s="15">
        <f t="shared" si="6"/>
        <v>3345.3575869164488</v>
      </c>
      <c r="AE5" s="15">
        <f t="shared" si="6"/>
        <v>3412.2647386547774</v>
      </c>
      <c r="AF5" s="15">
        <f t="shared" si="6"/>
        <v>3480.5100334278732</v>
      </c>
    </row>
    <row r="6" spans="2:116" x14ac:dyDescent="0.3">
      <c r="B6" t="s">
        <v>25</v>
      </c>
      <c r="C6" s="4">
        <v>66.400000000000006</v>
      </c>
      <c r="D6" s="4">
        <v>87</v>
      </c>
      <c r="E6" s="4">
        <v>86.9</v>
      </c>
      <c r="F6" s="4">
        <f>327.3-E6-D6-C6</f>
        <v>87</v>
      </c>
      <c r="G6" s="4">
        <v>68.7</v>
      </c>
      <c r="H6" s="4">
        <v>90.6</v>
      </c>
      <c r="I6" s="4">
        <v>96.1</v>
      </c>
      <c r="J6" s="4">
        <f>343.1-I6-H6-G6</f>
        <v>87.700000000000031</v>
      </c>
      <c r="K6" s="4">
        <v>79</v>
      </c>
      <c r="L6" s="4">
        <v>78.099999999999994</v>
      </c>
      <c r="M6" s="4">
        <v>76.7</v>
      </c>
      <c r="N6" s="4">
        <f>336.1-M6-L6-K6</f>
        <v>102.30000000000004</v>
      </c>
      <c r="O6" s="4">
        <f>K6*1.05</f>
        <v>82.95</v>
      </c>
      <c r="P6" s="4">
        <f t="shared" ref="P6" si="7">L6*1.1</f>
        <v>85.91</v>
      </c>
      <c r="Q6" s="4">
        <f>M6*1.15</f>
        <v>88.204999999999998</v>
      </c>
      <c r="R6" s="4">
        <f>N6*1.05</f>
        <v>107.41500000000005</v>
      </c>
      <c r="S6" s="11"/>
      <c r="T6" s="16">
        <f>SUM(C6:F6)</f>
        <v>327.3</v>
      </c>
      <c r="U6" s="16">
        <f>SUM(G6:J6)</f>
        <v>343.1</v>
      </c>
      <c r="V6" s="16">
        <f>SUM(K6:N6)</f>
        <v>336.1</v>
      </c>
      <c r="W6" s="16">
        <f>SUM(O6:R6)</f>
        <v>364.48</v>
      </c>
      <c r="X6" s="4">
        <f>W6*1.1</f>
        <v>400.92800000000005</v>
      </c>
      <c r="Y6" s="4">
        <f>X6*1.08</f>
        <v>433.00224000000009</v>
      </c>
      <c r="Z6" s="4">
        <f>Y6*1.05</f>
        <v>454.65235200000012</v>
      </c>
      <c r="AA6" s="4">
        <f>Z6*1.04</f>
        <v>472.83844608000015</v>
      </c>
      <c r="AB6" s="4">
        <f>AA6*1.03</f>
        <v>487.02359946240017</v>
      </c>
      <c r="AC6" s="4">
        <f t="shared" ref="AC6:AD6" si="8">AB6*1.03</f>
        <v>501.6343074462722</v>
      </c>
      <c r="AD6" s="4">
        <f t="shared" si="8"/>
        <v>516.68333666966043</v>
      </c>
      <c r="AE6" s="4">
        <f t="shared" ref="AE6:AF6" si="9">AD6*1.02</f>
        <v>527.01700340305365</v>
      </c>
      <c r="AF6" s="4">
        <f t="shared" si="9"/>
        <v>537.55734347111468</v>
      </c>
    </row>
    <row r="7" spans="2:116" s="7" customFormat="1" x14ac:dyDescent="0.3">
      <c r="B7" s="7" t="s">
        <v>26</v>
      </c>
      <c r="C7" s="16">
        <v>172.6</v>
      </c>
      <c r="D7" s="16">
        <v>166.2</v>
      </c>
      <c r="E7" s="16">
        <v>143.6</v>
      </c>
      <c r="F7" s="16">
        <f>643-E7-D7-C7</f>
        <v>160.6</v>
      </c>
      <c r="G7" s="16">
        <v>184.7</v>
      </c>
      <c r="H7" s="16">
        <v>170.2</v>
      </c>
      <c r="I7" s="16">
        <v>162.30000000000001</v>
      </c>
      <c r="J7" s="16">
        <f>699.2-I7-H7-G7</f>
        <v>182.00000000000011</v>
      </c>
      <c r="K7" s="16">
        <v>181.2</v>
      </c>
      <c r="L7" s="16">
        <v>166.1</v>
      </c>
      <c r="M7" s="16">
        <v>157.4</v>
      </c>
      <c r="N7" s="16">
        <f>707.4-M7-L7-K7</f>
        <v>202.7</v>
      </c>
      <c r="O7" s="16">
        <f>K7*1.15</f>
        <v>208.37999999999997</v>
      </c>
      <c r="P7" s="16">
        <f>L7*1.15</f>
        <v>191.01499999999999</v>
      </c>
      <c r="Q7" s="16">
        <f>M7*1.15</f>
        <v>181.01</v>
      </c>
      <c r="R7" s="16">
        <f>N7*1.02</f>
        <v>206.75399999999999</v>
      </c>
      <c r="S7" s="9"/>
      <c r="T7" s="16">
        <f>SUM(C7:F7)</f>
        <v>643</v>
      </c>
      <c r="U7" s="16">
        <f>SUM(G7:J7)</f>
        <v>699.20000000000016</v>
      </c>
      <c r="V7" s="16">
        <f>SUM(K7:N7)</f>
        <v>707.39999999999986</v>
      </c>
      <c r="W7" s="16">
        <f>SUM(O7:R7)</f>
        <v>787.15899999999999</v>
      </c>
      <c r="X7" s="16">
        <f>W7*1.08</f>
        <v>850.13172000000009</v>
      </c>
      <c r="Y7" s="16">
        <f>X7*1.06</f>
        <v>901.13962320000019</v>
      </c>
      <c r="Z7" s="16">
        <f>Y7*1.05</f>
        <v>946.19660436000026</v>
      </c>
      <c r="AA7" s="16">
        <f>Z7*1.04</f>
        <v>984.04446853440027</v>
      </c>
      <c r="AB7" s="16">
        <f>AA7*1.03</f>
        <v>1013.5658025904323</v>
      </c>
      <c r="AC7" s="16">
        <f t="shared" ref="AC7:AF7" si="10">AB7*1.03</f>
        <v>1043.9727766681453</v>
      </c>
      <c r="AD7" s="16">
        <f t="shared" si="10"/>
        <v>1075.2919599681898</v>
      </c>
      <c r="AE7" s="16">
        <f t="shared" si="10"/>
        <v>1107.5507187672354</v>
      </c>
      <c r="AF7" s="16">
        <f t="shared" si="10"/>
        <v>1140.7772403302524</v>
      </c>
    </row>
    <row r="8" spans="2:116" x14ac:dyDescent="0.3">
      <c r="B8" t="s">
        <v>28</v>
      </c>
      <c r="C8" s="4">
        <f>-8.8+11.3</f>
        <v>2.5</v>
      </c>
      <c r="D8" s="4">
        <f>4.2-1.4</f>
        <v>2.8000000000000003</v>
      </c>
      <c r="E8" s="4">
        <f>4.1-0.6</f>
        <v>3.4999999999999996</v>
      </c>
      <c r="F8" s="4">
        <f>3.1-2.6+11.3-E8-D8-C8</f>
        <v>3</v>
      </c>
      <c r="G8" s="4">
        <f>-6.4+10.8-1</f>
        <v>3.4000000000000004</v>
      </c>
      <c r="H8" s="4">
        <f>4.3-0.4</f>
        <v>3.9</v>
      </c>
      <c r="I8" s="4">
        <f>5.5-1</f>
        <v>4.5</v>
      </c>
      <c r="J8" s="4">
        <f>4.9+10.8-3.5-I8-H8-G8</f>
        <v>0.4000000000000008</v>
      </c>
      <c r="K8" s="4">
        <f>2.1-1.2</f>
        <v>0.90000000000000013</v>
      </c>
      <c r="L8" s="4">
        <f>5.3-1.1</f>
        <v>4.1999999999999993</v>
      </c>
      <c r="M8" s="4">
        <f>7.3-1.1</f>
        <v>6.1999999999999993</v>
      </c>
      <c r="N8" s="4">
        <f>18.5-4.6-M8-L8-K8</f>
        <v>2.6000000000000014</v>
      </c>
      <c r="O8" s="4">
        <v>4</v>
      </c>
      <c r="P8" s="4">
        <v>4</v>
      </c>
      <c r="Q8" s="4">
        <v>4</v>
      </c>
      <c r="R8" s="4">
        <v>4</v>
      </c>
      <c r="S8" s="11"/>
      <c r="T8" s="16">
        <f>SUM(C8:F8)</f>
        <v>11.8</v>
      </c>
      <c r="U8" s="16">
        <f>SUM(G8:J8)</f>
        <v>12.200000000000001</v>
      </c>
      <c r="V8" s="16">
        <f>SUM(K8:N8)</f>
        <v>13.9</v>
      </c>
      <c r="W8" s="16">
        <f>SUM(O8:R8)</f>
        <v>16</v>
      </c>
      <c r="X8" s="4">
        <f>W8*1.01</f>
        <v>16.16</v>
      </c>
      <c r="Y8" s="4">
        <f t="shared" ref="Y8:AF8" si="11">X8*1.01</f>
        <v>16.3216</v>
      </c>
      <c r="Z8" s="4">
        <f t="shared" si="11"/>
        <v>16.484815999999999</v>
      </c>
      <c r="AA8" s="4">
        <f t="shared" si="11"/>
        <v>16.64966416</v>
      </c>
      <c r="AB8" s="4">
        <f t="shared" si="11"/>
        <v>16.816160801599999</v>
      </c>
      <c r="AC8" s="4">
        <f t="shared" si="11"/>
        <v>16.984322409615999</v>
      </c>
      <c r="AD8" s="4">
        <f t="shared" si="11"/>
        <v>17.154165633712157</v>
      </c>
      <c r="AE8" s="4">
        <f t="shared" si="11"/>
        <v>17.32570729004928</v>
      </c>
      <c r="AF8" s="4">
        <f t="shared" si="11"/>
        <v>17.498964362949774</v>
      </c>
    </row>
    <row r="9" spans="2:116" s="1" customFormat="1" x14ac:dyDescent="0.3">
      <c r="B9" s="1" t="s">
        <v>27</v>
      </c>
      <c r="C9" s="15">
        <f>C5-C6-C7-C8</f>
        <v>198.69999999999996</v>
      </c>
      <c r="D9" s="15">
        <f>D5-D6-D7-D8</f>
        <v>218.20000000000005</v>
      </c>
      <c r="E9" s="15">
        <f>E5-E6-E7-E8</f>
        <v>203.20000000000007</v>
      </c>
      <c r="F9" s="15">
        <f t="shared" ref="F9:R9" si="12">F5-F6-F7-F8</f>
        <v>195.20000000000036</v>
      </c>
      <c r="G9" s="15">
        <f t="shared" si="12"/>
        <v>221.70000000000002</v>
      </c>
      <c r="H9" s="15">
        <f t="shared" si="12"/>
        <v>238.60000000000005</v>
      </c>
      <c r="I9" s="15">
        <f t="shared" si="12"/>
        <v>226.89999999999992</v>
      </c>
      <c r="J9" s="15">
        <f t="shared" si="12"/>
        <v>219.60000000000011</v>
      </c>
      <c r="K9" s="15">
        <f t="shared" si="12"/>
        <v>220.20000000000002</v>
      </c>
      <c r="L9" s="15">
        <f t="shared" si="12"/>
        <v>23.199999999999978</v>
      </c>
      <c r="M9" s="15">
        <f t="shared" si="12"/>
        <v>222.1</v>
      </c>
      <c r="N9" s="15">
        <f t="shared" si="12"/>
        <v>248.22800000000004</v>
      </c>
      <c r="O9" s="15">
        <f t="shared" si="12"/>
        <v>199.05584000000007</v>
      </c>
      <c r="P9" s="15">
        <f t="shared" si="12"/>
        <v>253.3438000000001</v>
      </c>
      <c r="Q9" s="15">
        <f t="shared" si="12"/>
        <v>257.80900000000003</v>
      </c>
      <c r="R9" s="15">
        <f t="shared" si="12"/>
        <v>254.33384000000001</v>
      </c>
      <c r="S9" s="10"/>
      <c r="T9" s="15">
        <f>T5-T6-T7-T8</f>
        <v>815.30000000000041</v>
      </c>
      <c r="U9" s="15">
        <f>U5-U6-U7-U8</f>
        <v>906.80000000000007</v>
      </c>
      <c r="V9" s="15">
        <f>V5-V6-V7-V8</f>
        <v>716.1000000000007</v>
      </c>
      <c r="W9" s="15">
        <f>W5-W6-W7-W8</f>
        <v>964.54248000000018</v>
      </c>
      <c r="X9" s="15">
        <f t="shared" ref="X9:AF9" si="13">X5-X6-X7-X8</f>
        <v>1163.4671671999997</v>
      </c>
      <c r="Y9" s="15">
        <f t="shared" si="13"/>
        <v>1323.29211272</v>
      </c>
      <c r="Z9" s="15">
        <f t="shared" si="13"/>
        <v>1470.3222496336007</v>
      </c>
      <c r="AA9" s="15">
        <f t="shared" si="13"/>
        <v>1558.5062443188808</v>
      </c>
      <c r="AB9" s="15">
        <f t="shared" si="13"/>
        <v>1635.9148131625805</v>
      </c>
      <c r="AC9" s="15">
        <f t="shared" si="13"/>
        <v>1685.3285807734894</v>
      </c>
      <c r="AD9" s="15">
        <f t="shared" si="13"/>
        <v>1736.2281246448863</v>
      </c>
      <c r="AE9" s="15">
        <f t="shared" si="13"/>
        <v>1760.3713091944389</v>
      </c>
      <c r="AF9" s="15">
        <f t="shared" si="13"/>
        <v>1784.6764852635565</v>
      </c>
    </row>
    <row r="10" spans="2:116" x14ac:dyDescent="0.3">
      <c r="B10" t="s">
        <v>29</v>
      </c>
      <c r="C10" s="4">
        <v>4.3</v>
      </c>
      <c r="D10" s="4">
        <v>4.5</v>
      </c>
      <c r="E10" s="4">
        <v>6.2</v>
      </c>
      <c r="F10" s="4">
        <f>23.6-E10-D10-C10</f>
        <v>8.6000000000000014</v>
      </c>
      <c r="G10" s="4">
        <v>6.7</v>
      </c>
      <c r="H10" s="4">
        <v>9.8000000000000007</v>
      </c>
      <c r="I10" s="4">
        <v>15.6</v>
      </c>
      <c r="J10" s="4">
        <f>42-I10-H10-G10</f>
        <v>9.8999999999999986</v>
      </c>
      <c r="K10" s="4">
        <v>13.1</v>
      </c>
      <c r="L10" s="4">
        <v>11.3</v>
      </c>
      <c r="M10" s="4">
        <v>13.4</v>
      </c>
      <c r="N10" s="4">
        <f>49.1-M10-L10-K10</f>
        <v>11.300000000000002</v>
      </c>
      <c r="O10" s="4">
        <v>11</v>
      </c>
      <c r="P10" s="4">
        <f>O10*0.95</f>
        <v>10.45</v>
      </c>
      <c r="Q10" s="4">
        <f t="shared" ref="Q10:R10" si="14">P10*0.95</f>
        <v>9.9274999999999984</v>
      </c>
      <c r="R10" s="4">
        <f t="shared" si="14"/>
        <v>9.431124999999998</v>
      </c>
      <c r="S10" s="11"/>
      <c r="T10" s="16">
        <f>SUM(C10:F10)</f>
        <v>23.6</v>
      </c>
      <c r="U10" s="16">
        <f>SUM(G10:J10)</f>
        <v>42</v>
      </c>
      <c r="V10" s="16">
        <f>SUM(K10:N10)</f>
        <v>49.1</v>
      </c>
      <c r="W10" s="16">
        <f>SUM(O10:R10)</f>
        <v>40.808624999999992</v>
      </c>
      <c r="X10" s="4">
        <f>W10*0.9</f>
        <v>36.727762499999997</v>
      </c>
      <c r="Y10" s="4">
        <f t="shared" ref="Y10:AF10" si="15">X10*0.9</f>
        <v>33.054986249999999</v>
      </c>
      <c r="Z10" s="4">
        <f t="shared" si="15"/>
        <v>29.749487625</v>
      </c>
      <c r="AA10" s="4">
        <f t="shared" si="15"/>
        <v>26.774538862500002</v>
      </c>
      <c r="AB10" s="4">
        <f t="shared" si="15"/>
        <v>24.097084976250002</v>
      </c>
      <c r="AC10" s="4">
        <f t="shared" si="15"/>
        <v>21.687376478625001</v>
      </c>
      <c r="AD10" s="4">
        <f t="shared" si="15"/>
        <v>19.518638830762502</v>
      </c>
      <c r="AE10" s="4">
        <f t="shared" si="15"/>
        <v>17.566774947686252</v>
      </c>
      <c r="AF10" s="4">
        <f t="shared" si="15"/>
        <v>15.810097452917628</v>
      </c>
    </row>
    <row r="11" spans="2:116" s="1" customFormat="1" x14ac:dyDescent="0.3">
      <c r="B11" s="1" t="s">
        <v>30</v>
      </c>
      <c r="C11" s="15">
        <f>C9-C10</f>
        <v>194.39999999999995</v>
      </c>
      <c r="D11" s="15">
        <f>D9-D10</f>
        <v>213.70000000000005</v>
      </c>
      <c r="E11" s="15">
        <f>E9-E10</f>
        <v>197.00000000000009</v>
      </c>
      <c r="F11" s="15">
        <f t="shared" ref="F11:R11" si="16">F9-F10</f>
        <v>186.60000000000036</v>
      </c>
      <c r="G11" s="15">
        <f t="shared" si="16"/>
        <v>215.00000000000003</v>
      </c>
      <c r="H11" s="15">
        <f t="shared" si="16"/>
        <v>228.80000000000004</v>
      </c>
      <c r="I11" s="15">
        <f t="shared" si="16"/>
        <v>211.29999999999993</v>
      </c>
      <c r="J11" s="15">
        <f t="shared" si="16"/>
        <v>209.7000000000001</v>
      </c>
      <c r="K11" s="15">
        <f t="shared" si="16"/>
        <v>207.10000000000002</v>
      </c>
      <c r="L11" s="15">
        <f t="shared" si="16"/>
        <v>11.899999999999977</v>
      </c>
      <c r="M11" s="15">
        <f t="shared" si="16"/>
        <v>208.7</v>
      </c>
      <c r="N11" s="15">
        <f t="shared" si="16"/>
        <v>236.92800000000003</v>
      </c>
      <c r="O11" s="15">
        <f t="shared" si="16"/>
        <v>188.05584000000007</v>
      </c>
      <c r="P11" s="15">
        <f t="shared" si="16"/>
        <v>242.89380000000011</v>
      </c>
      <c r="Q11" s="15">
        <f t="shared" si="16"/>
        <v>247.88150000000002</v>
      </c>
      <c r="R11" s="15">
        <f t="shared" si="16"/>
        <v>244.902715</v>
      </c>
      <c r="S11" s="10"/>
      <c r="T11" s="15">
        <f>T9-T10</f>
        <v>791.70000000000039</v>
      </c>
      <c r="U11" s="15">
        <f>U9-U10</f>
        <v>864.80000000000007</v>
      </c>
      <c r="V11" s="15">
        <f>V9-V10</f>
        <v>667.00000000000068</v>
      </c>
      <c r="W11" s="15">
        <f>W9-W10</f>
        <v>923.73385500000018</v>
      </c>
      <c r="X11" s="15">
        <f t="shared" ref="X11:AF11" si="17">X9-X10</f>
        <v>1126.7394046999998</v>
      </c>
      <c r="Y11" s="15">
        <f t="shared" si="17"/>
        <v>1290.23712647</v>
      </c>
      <c r="Z11" s="15">
        <f t="shared" si="17"/>
        <v>1440.5727620086006</v>
      </c>
      <c r="AA11" s="15">
        <f t="shared" si="17"/>
        <v>1531.7317054563807</v>
      </c>
      <c r="AB11" s="15">
        <f t="shared" si="17"/>
        <v>1611.8177281863304</v>
      </c>
      <c r="AC11" s="15">
        <f t="shared" si="17"/>
        <v>1663.6412042948643</v>
      </c>
      <c r="AD11" s="15">
        <f t="shared" si="17"/>
        <v>1716.7094858141238</v>
      </c>
      <c r="AE11" s="15">
        <f t="shared" si="17"/>
        <v>1742.8045342467526</v>
      </c>
      <c r="AF11" s="15">
        <f t="shared" si="17"/>
        <v>1768.8663878106388</v>
      </c>
    </row>
    <row r="12" spans="2:116" x14ac:dyDescent="0.3">
      <c r="B12" t="s">
        <v>31</v>
      </c>
      <c r="C12" s="4">
        <v>57.3</v>
      </c>
      <c r="D12" s="4">
        <v>53.4</v>
      </c>
      <c r="E12" s="4">
        <f>-91+140.5</f>
        <v>49.5</v>
      </c>
      <c r="F12" s="4">
        <f>16.3+140.5+58.9-E12-D12-C12</f>
        <v>55.500000000000014</v>
      </c>
      <c r="G12" s="4">
        <v>45.1</v>
      </c>
      <c r="H12" s="4">
        <v>45.8</v>
      </c>
      <c r="I12" s="4">
        <v>42.2</v>
      </c>
      <c r="J12" s="4">
        <f>176.7-I12-H12-G12</f>
        <v>43.6</v>
      </c>
      <c r="K12" s="4">
        <v>41.4</v>
      </c>
      <c r="L12" s="4">
        <v>2.2999999999999998</v>
      </c>
      <c r="M12" s="4">
        <v>37.5</v>
      </c>
      <c r="N12" s="4">
        <f>58.2-M12-L12-K12</f>
        <v>-22.999999999999996</v>
      </c>
      <c r="O12" s="4">
        <f>O11*0.2</f>
        <v>37.611168000000013</v>
      </c>
      <c r="P12" s="4">
        <f t="shared" ref="P12:R12" si="18">P11*0.2</f>
        <v>48.578760000000024</v>
      </c>
      <c r="Q12" s="4">
        <f t="shared" si="18"/>
        <v>49.576300000000003</v>
      </c>
      <c r="R12" s="4">
        <f t="shared" si="18"/>
        <v>48.980543000000004</v>
      </c>
      <c r="S12" s="11"/>
      <c r="T12" s="16">
        <f>SUM(C12:F12)</f>
        <v>215.7</v>
      </c>
      <c r="U12" s="16">
        <f>SUM(G12:J12)</f>
        <v>176.70000000000002</v>
      </c>
      <c r="V12" s="16">
        <f>SUM(K12:N12)</f>
        <v>58.199999999999989</v>
      </c>
      <c r="W12" s="16">
        <f>SUM(O12:R12)</f>
        <v>184.74677100000005</v>
      </c>
      <c r="X12" s="4">
        <f t="shared" ref="X12:AF12" si="19">X11*0.2</f>
        <v>225.34788093999998</v>
      </c>
      <c r="Y12" s="4">
        <f t="shared" si="19"/>
        <v>258.04742529399999</v>
      </c>
      <c r="Z12" s="4">
        <f t="shared" si="19"/>
        <v>288.11455240172012</v>
      </c>
      <c r="AA12" s="4">
        <f t="shared" si="19"/>
        <v>306.34634109127614</v>
      </c>
      <c r="AB12" s="4">
        <f t="shared" si="19"/>
        <v>322.3635456372661</v>
      </c>
      <c r="AC12" s="4">
        <f t="shared" si="19"/>
        <v>332.72824085897287</v>
      </c>
      <c r="AD12" s="4">
        <f t="shared" si="19"/>
        <v>343.34189716282481</v>
      </c>
      <c r="AE12" s="4">
        <f t="shared" si="19"/>
        <v>348.56090684935054</v>
      </c>
      <c r="AF12" s="4">
        <f t="shared" si="19"/>
        <v>353.77327756212776</v>
      </c>
    </row>
    <row r="13" spans="2:116" x14ac:dyDescent="0.3">
      <c r="B13" t="s">
        <v>32</v>
      </c>
      <c r="C13" s="4">
        <v>0.7</v>
      </c>
      <c r="D13" s="4">
        <v>0</v>
      </c>
      <c r="E13" s="4">
        <v>0.9</v>
      </c>
      <c r="F13" s="4">
        <f>2.9-E13-D13-C13</f>
        <v>1.3</v>
      </c>
      <c r="G13" s="4">
        <v>2.2999999999999998</v>
      </c>
      <c r="H13" s="4">
        <v>1</v>
      </c>
      <c r="I13" s="4">
        <v>1.1000000000000001</v>
      </c>
      <c r="J13" s="4">
        <f>2.9-I13-H13-G13</f>
        <v>-1.5</v>
      </c>
      <c r="K13" s="4">
        <v>0.2</v>
      </c>
      <c r="L13" s="4">
        <v>0.5</v>
      </c>
      <c r="M13" s="4">
        <v>0.4</v>
      </c>
      <c r="N13" s="4">
        <f>1.1-M13-L13-K13</f>
        <v>0</v>
      </c>
      <c r="O13" s="4">
        <v>1</v>
      </c>
      <c r="P13" s="4">
        <v>1</v>
      </c>
      <c r="Q13" s="4">
        <v>1</v>
      </c>
      <c r="R13" s="4">
        <v>1</v>
      </c>
      <c r="S13" s="11"/>
      <c r="T13" s="16">
        <f>SUM(C13:F13)</f>
        <v>2.9000000000000004</v>
      </c>
      <c r="U13" s="16">
        <f>SUM(G13:J13)</f>
        <v>2.9000000000000004</v>
      </c>
      <c r="V13" s="16">
        <f>SUM(K13:N13)</f>
        <v>1.1000000000000001</v>
      </c>
      <c r="W13" s="16">
        <f>SUM(O13:R13)</f>
        <v>4</v>
      </c>
      <c r="X13" s="16">
        <f>W13*1.01</f>
        <v>4.04</v>
      </c>
      <c r="Y13" s="16">
        <f t="shared" ref="Y13:AF13" si="20">X13*1.01</f>
        <v>4.0804</v>
      </c>
      <c r="Z13" s="16">
        <f t="shared" si="20"/>
        <v>4.1212039999999996</v>
      </c>
      <c r="AA13" s="16">
        <f t="shared" si="20"/>
        <v>4.1624160400000001</v>
      </c>
      <c r="AB13" s="16">
        <f t="shared" si="20"/>
        <v>4.2040402003999997</v>
      </c>
      <c r="AC13" s="16">
        <f t="shared" si="20"/>
        <v>4.2460806024039996</v>
      </c>
      <c r="AD13" s="16">
        <f t="shared" si="20"/>
        <v>4.2885414084280393</v>
      </c>
      <c r="AE13" s="16">
        <f t="shared" si="20"/>
        <v>4.33142682251232</v>
      </c>
      <c r="AF13" s="16">
        <f t="shared" si="20"/>
        <v>4.3747410907374435</v>
      </c>
    </row>
    <row r="14" spans="2:116" s="1" customFormat="1" x14ac:dyDescent="0.3">
      <c r="B14" s="1" t="s">
        <v>33</v>
      </c>
      <c r="C14" s="15">
        <f t="shared" ref="C14:N14" si="21">C11-C12-C13</f>
        <v>136.39999999999998</v>
      </c>
      <c r="D14" s="15">
        <f t="shared" si="21"/>
        <v>160.30000000000004</v>
      </c>
      <c r="E14" s="15">
        <f t="shared" si="21"/>
        <v>146.60000000000008</v>
      </c>
      <c r="F14" s="15">
        <f t="shared" si="21"/>
        <v>129.80000000000035</v>
      </c>
      <c r="G14" s="15">
        <f t="shared" si="21"/>
        <v>167.60000000000002</v>
      </c>
      <c r="H14" s="15">
        <f t="shared" si="21"/>
        <v>182.00000000000006</v>
      </c>
      <c r="I14" s="15">
        <f t="shared" si="21"/>
        <v>167.99999999999991</v>
      </c>
      <c r="J14" s="15">
        <f t="shared" si="21"/>
        <v>167.60000000000011</v>
      </c>
      <c r="K14" s="15">
        <f t="shared" si="21"/>
        <v>165.50000000000003</v>
      </c>
      <c r="L14" s="15">
        <f t="shared" si="21"/>
        <v>9.0999999999999766</v>
      </c>
      <c r="M14" s="15">
        <f t="shared" si="21"/>
        <v>170.79999999999998</v>
      </c>
      <c r="N14" s="15">
        <f t="shared" si="21"/>
        <v>259.928</v>
      </c>
      <c r="O14" s="15">
        <f t="shared" ref="O14:R14" si="22">O11-O12-O13</f>
        <v>149.44467200000005</v>
      </c>
      <c r="P14" s="15">
        <f t="shared" si="22"/>
        <v>193.3150400000001</v>
      </c>
      <c r="Q14" s="15">
        <f t="shared" si="22"/>
        <v>197.30520000000001</v>
      </c>
      <c r="R14" s="15">
        <f t="shared" si="22"/>
        <v>194.92217199999999</v>
      </c>
      <c r="S14" s="10"/>
      <c r="T14" s="15">
        <f>T11-T12-T13</f>
        <v>573.10000000000048</v>
      </c>
      <c r="U14" s="15">
        <f>U11-U12-U13</f>
        <v>685.2</v>
      </c>
      <c r="V14" s="15">
        <f>V11-V12-V13</f>
        <v>607.70000000000061</v>
      </c>
      <c r="W14" s="15">
        <f>W11-W12-W13</f>
        <v>734.9870840000001</v>
      </c>
      <c r="X14" s="15">
        <f t="shared" ref="X14:AF14" si="23">X11-X12-X13</f>
        <v>897.35152375999985</v>
      </c>
      <c r="Y14" s="15">
        <f t="shared" si="23"/>
        <v>1028.1093011759999</v>
      </c>
      <c r="Z14" s="15">
        <f t="shared" si="23"/>
        <v>1148.3370056068804</v>
      </c>
      <c r="AA14" s="15">
        <f t="shared" si="23"/>
        <v>1221.2229483251047</v>
      </c>
      <c r="AB14" s="15">
        <f t="shared" si="23"/>
        <v>1285.2501423486644</v>
      </c>
      <c r="AC14" s="15">
        <f t="shared" si="23"/>
        <v>1326.6668828334875</v>
      </c>
      <c r="AD14" s="15">
        <f t="shared" si="23"/>
        <v>1369.079047242871</v>
      </c>
      <c r="AE14" s="15">
        <f t="shared" si="23"/>
        <v>1389.9122005748898</v>
      </c>
      <c r="AF14" s="15">
        <f t="shared" si="23"/>
        <v>1410.7183691577736</v>
      </c>
      <c r="AG14" s="1">
        <f>AF14*(1+$AI$22)</f>
        <v>1396.6111854661958</v>
      </c>
      <c r="AH14" s="1">
        <f t="shared" ref="AH14:CS14" si="24">AG14*(1+$AI$22)</f>
        <v>1382.6450736115339</v>
      </c>
      <c r="AI14" s="1">
        <f t="shared" si="24"/>
        <v>1368.8186228754187</v>
      </c>
      <c r="AJ14" s="1">
        <f t="shared" si="24"/>
        <v>1355.1304366466645</v>
      </c>
      <c r="AK14" s="1">
        <f t="shared" si="24"/>
        <v>1341.5791322801979</v>
      </c>
      <c r="AL14" s="1">
        <f t="shared" si="24"/>
        <v>1328.1633409573958</v>
      </c>
      <c r="AM14" s="1">
        <f t="shared" si="24"/>
        <v>1314.8817075478219</v>
      </c>
      <c r="AN14" s="1">
        <f t="shared" si="24"/>
        <v>1301.7328904723436</v>
      </c>
      <c r="AO14" s="1">
        <f t="shared" si="24"/>
        <v>1288.7155615676202</v>
      </c>
      <c r="AP14" s="1">
        <f t="shared" si="24"/>
        <v>1275.828405951944</v>
      </c>
      <c r="AQ14" s="1">
        <f t="shared" si="24"/>
        <v>1263.0701218924246</v>
      </c>
      <c r="AR14" s="1">
        <f t="shared" si="24"/>
        <v>1250.4394206735003</v>
      </c>
      <c r="AS14" s="1">
        <f t="shared" si="24"/>
        <v>1237.9350264667653</v>
      </c>
      <c r="AT14" s="1">
        <f t="shared" si="24"/>
        <v>1225.5556762020976</v>
      </c>
      <c r="AU14" s="1">
        <f t="shared" si="24"/>
        <v>1213.3001194400767</v>
      </c>
      <c r="AV14" s="1">
        <f t="shared" si="24"/>
        <v>1201.167118245676</v>
      </c>
      <c r="AW14" s="1">
        <f t="shared" si="24"/>
        <v>1189.1554470632193</v>
      </c>
      <c r="AX14" s="1">
        <f t="shared" si="24"/>
        <v>1177.2638925925871</v>
      </c>
      <c r="AY14" s="1">
        <f t="shared" si="24"/>
        <v>1165.4912536666614</v>
      </c>
      <c r="AZ14" s="1">
        <f t="shared" si="24"/>
        <v>1153.8363411299947</v>
      </c>
      <c r="BA14" s="1">
        <f t="shared" si="24"/>
        <v>1142.2979777186947</v>
      </c>
      <c r="BB14" s="1">
        <f t="shared" si="24"/>
        <v>1130.8749979415077</v>
      </c>
      <c r="BC14" s="1">
        <f t="shared" si="24"/>
        <v>1119.5662479620926</v>
      </c>
      <c r="BD14" s="1">
        <f t="shared" si="24"/>
        <v>1108.3705854824716</v>
      </c>
      <c r="BE14" s="1">
        <f t="shared" si="24"/>
        <v>1097.2868796276468</v>
      </c>
      <c r="BF14" s="1">
        <f t="shared" si="24"/>
        <v>1086.3140108313703</v>
      </c>
      <c r="BG14" s="1">
        <f t="shared" si="24"/>
        <v>1075.4508707230566</v>
      </c>
      <c r="BH14" s="1">
        <f t="shared" si="24"/>
        <v>1064.696362015826</v>
      </c>
      <c r="BI14" s="1">
        <f t="shared" si="24"/>
        <v>1054.0493983956678</v>
      </c>
      <c r="BJ14" s="1">
        <f t="shared" si="24"/>
        <v>1043.5089044117112</v>
      </c>
      <c r="BK14" s="1">
        <f t="shared" si="24"/>
        <v>1033.0738153675941</v>
      </c>
      <c r="BL14" s="1">
        <f t="shared" si="24"/>
        <v>1022.7430772139181</v>
      </c>
      <c r="BM14" s="1">
        <f t="shared" si="24"/>
        <v>1012.5156464417789</v>
      </c>
      <c r="BN14" s="1">
        <f t="shared" si="24"/>
        <v>1002.3904899773611</v>
      </c>
      <c r="BO14" s="1">
        <f t="shared" si="24"/>
        <v>992.3665850775875</v>
      </c>
      <c r="BP14" s="1">
        <f t="shared" si="24"/>
        <v>982.44291922681157</v>
      </c>
      <c r="BQ14" s="1">
        <f t="shared" si="24"/>
        <v>972.61849003454347</v>
      </c>
      <c r="BR14" s="1">
        <f t="shared" si="24"/>
        <v>962.89230513419807</v>
      </c>
      <c r="BS14" s="1">
        <f t="shared" si="24"/>
        <v>953.26338208285608</v>
      </c>
      <c r="BT14" s="1">
        <f t="shared" si="24"/>
        <v>943.73074826202753</v>
      </c>
      <c r="BU14" s="1">
        <f t="shared" si="24"/>
        <v>934.29344077940721</v>
      </c>
      <c r="BV14" s="1">
        <f t="shared" si="24"/>
        <v>924.95050637161307</v>
      </c>
      <c r="BW14" s="1">
        <f t="shared" si="24"/>
        <v>915.70100130789695</v>
      </c>
      <c r="BX14" s="1">
        <f t="shared" si="24"/>
        <v>906.54399129481794</v>
      </c>
      <c r="BY14" s="1">
        <f t="shared" si="24"/>
        <v>897.47855138186981</v>
      </c>
      <c r="BZ14" s="1">
        <f t="shared" si="24"/>
        <v>888.50376586805112</v>
      </c>
      <c r="CA14" s="1">
        <f t="shared" si="24"/>
        <v>879.6187282093706</v>
      </c>
      <c r="CB14" s="1">
        <f t="shared" si="24"/>
        <v>870.82254092727692</v>
      </c>
      <c r="CC14" s="1">
        <f t="shared" si="24"/>
        <v>862.1143155180041</v>
      </c>
      <c r="CD14" s="1">
        <f t="shared" si="24"/>
        <v>853.49317236282411</v>
      </c>
      <c r="CE14" s="1">
        <f t="shared" si="24"/>
        <v>844.95824063919588</v>
      </c>
      <c r="CF14" s="1">
        <f t="shared" si="24"/>
        <v>836.5086582328039</v>
      </c>
      <c r="CG14" s="1">
        <f t="shared" si="24"/>
        <v>828.14357165047591</v>
      </c>
      <c r="CH14" s="1">
        <f t="shared" si="24"/>
        <v>819.8621359339711</v>
      </c>
      <c r="CI14" s="1">
        <f t="shared" si="24"/>
        <v>811.66351457463134</v>
      </c>
      <c r="CJ14" s="1">
        <f t="shared" si="24"/>
        <v>803.54687942888506</v>
      </c>
      <c r="CK14" s="1">
        <f t="shared" si="24"/>
        <v>795.51141063459625</v>
      </c>
      <c r="CL14" s="1">
        <f t="shared" si="24"/>
        <v>787.5562965282503</v>
      </c>
      <c r="CM14" s="1">
        <f t="shared" si="24"/>
        <v>779.68073356296782</v>
      </c>
      <c r="CN14" s="1">
        <f t="shared" si="24"/>
        <v>771.88392622733818</v>
      </c>
      <c r="CO14" s="1">
        <f t="shared" si="24"/>
        <v>764.1650869650648</v>
      </c>
      <c r="CP14" s="1">
        <f t="shared" si="24"/>
        <v>756.52343609541413</v>
      </c>
      <c r="CQ14" s="1">
        <f t="shared" si="24"/>
        <v>748.95820173445998</v>
      </c>
      <c r="CR14" s="1">
        <f t="shared" si="24"/>
        <v>741.46861971711542</v>
      </c>
      <c r="CS14" s="1">
        <f t="shared" si="24"/>
        <v>734.05393351994428</v>
      </c>
      <c r="CT14" s="1">
        <f t="shared" ref="CT14:DL14" si="25">CS14*(1+$AI$22)</f>
        <v>726.71339418474486</v>
      </c>
      <c r="CU14" s="1">
        <f t="shared" si="25"/>
        <v>719.44626024289744</v>
      </c>
      <c r="CV14" s="1">
        <f t="shared" si="25"/>
        <v>712.25179764046845</v>
      </c>
      <c r="CW14" s="1">
        <f t="shared" si="25"/>
        <v>705.1292796640638</v>
      </c>
      <c r="CX14" s="1">
        <f t="shared" si="25"/>
        <v>698.07798686742319</v>
      </c>
      <c r="CY14" s="1">
        <f t="shared" si="25"/>
        <v>691.0972069987489</v>
      </c>
      <c r="CZ14" s="1">
        <f t="shared" si="25"/>
        <v>684.18623492876145</v>
      </c>
      <c r="DA14" s="1">
        <f t="shared" si="25"/>
        <v>677.34437257947388</v>
      </c>
      <c r="DB14" s="1">
        <f t="shared" si="25"/>
        <v>670.57092885367911</v>
      </c>
      <c r="DC14" s="1">
        <f t="shared" si="25"/>
        <v>663.8652195651423</v>
      </c>
      <c r="DD14" s="1">
        <f t="shared" si="25"/>
        <v>657.22656736949091</v>
      </c>
      <c r="DE14" s="1">
        <f t="shared" si="25"/>
        <v>650.65430169579599</v>
      </c>
      <c r="DF14" s="1">
        <f t="shared" si="25"/>
        <v>644.14775867883804</v>
      </c>
      <c r="DG14" s="1">
        <f t="shared" si="25"/>
        <v>637.70628109204961</v>
      </c>
      <c r="DH14" s="1">
        <f t="shared" si="25"/>
        <v>631.3292182811291</v>
      </c>
      <c r="DI14" s="1">
        <f t="shared" si="25"/>
        <v>625.01592609831778</v>
      </c>
      <c r="DJ14" s="1">
        <f t="shared" si="25"/>
        <v>618.76576683733458</v>
      </c>
      <c r="DK14" s="1">
        <f t="shared" si="25"/>
        <v>612.57810916896119</v>
      </c>
      <c r="DL14" s="1">
        <f t="shared" si="25"/>
        <v>606.45232807727155</v>
      </c>
    </row>
    <row r="15" spans="2:116" x14ac:dyDescent="0.3">
      <c r="B15" t="s">
        <v>2</v>
      </c>
      <c r="C15" s="4">
        <v>185</v>
      </c>
      <c r="D15" s="4">
        <v>185</v>
      </c>
      <c r="E15" s="4">
        <v>185</v>
      </c>
      <c r="F15" s="4">
        <v>185</v>
      </c>
      <c r="G15" s="4">
        <v>185</v>
      </c>
      <c r="H15" s="4">
        <v>185</v>
      </c>
      <c r="I15" s="4">
        <v>185</v>
      </c>
      <c r="J15" s="4">
        <v>185</v>
      </c>
      <c r="K15" s="4">
        <v>185</v>
      </c>
      <c r="L15" s="4">
        <v>185</v>
      </c>
      <c r="M15" s="4">
        <v>185</v>
      </c>
      <c r="N15" s="4">
        <v>185</v>
      </c>
      <c r="O15" s="4">
        <v>185</v>
      </c>
      <c r="P15" s="4">
        <v>185</v>
      </c>
      <c r="Q15" s="4">
        <v>185</v>
      </c>
      <c r="R15" s="4">
        <v>185</v>
      </c>
      <c r="T15" s="4">
        <v>185</v>
      </c>
      <c r="U15" s="4">
        <v>185</v>
      </c>
      <c r="V15" s="4">
        <v>185</v>
      </c>
      <c r="W15" s="4">
        <v>185</v>
      </c>
      <c r="X15" s="4">
        <v>185</v>
      </c>
      <c r="Y15" s="4">
        <v>185</v>
      </c>
      <c r="Z15" s="4">
        <v>185</v>
      </c>
      <c r="AA15" s="4">
        <v>185</v>
      </c>
      <c r="AB15" s="4">
        <v>185</v>
      </c>
      <c r="AC15" s="4">
        <v>185</v>
      </c>
      <c r="AD15" s="4">
        <v>185</v>
      </c>
      <c r="AE15" s="4">
        <v>185</v>
      </c>
      <c r="AF15" s="4">
        <v>185</v>
      </c>
    </row>
    <row r="16" spans="2:116" s="1" customFormat="1" x14ac:dyDescent="0.3">
      <c r="B16" s="1" t="s">
        <v>34</v>
      </c>
      <c r="C16" s="8">
        <f t="shared" ref="C16:N16" si="26">C14/C15</f>
        <v>0.7372972972972972</v>
      </c>
      <c r="D16" s="8">
        <f t="shared" si="26"/>
        <v>0.86648648648648674</v>
      </c>
      <c r="E16" s="8">
        <f t="shared" si="26"/>
        <v>0.79243243243243289</v>
      </c>
      <c r="F16" s="8">
        <f t="shared" si="26"/>
        <v>0.70162162162162356</v>
      </c>
      <c r="G16" s="8">
        <f t="shared" si="26"/>
        <v>0.90594594594594602</v>
      </c>
      <c r="H16" s="8">
        <f t="shared" si="26"/>
        <v>0.98378378378378406</v>
      </c>
      <c r="I16" s="8">
        <f t="shared" si="26"/>
        <v>0.9081081081081076</v>
      </c>
      <c r="J16" s="8">
        <f t="shared" si="26"/>
        <v>0.90594594594594657</v>
      </c>
      <c r="K16" s="8">
        <f t="shared" si="26"/>
        <v>0.89459459459459478</v>
      </c>
      <c r="L16" s="8">
        <f t="shared" si="26"/>
        <v>4.9189189189189061E-2</v>
      </c>
      <c r="M16" s="8">
        <f t="shared" si="26"/>
        <v>0.92324324324324314</v>
      </c>
      <c r="N16" s="8">
        <f t="shared" si="26"/>
        <v>1.4050162162162163</v>
      </c>
      <c r="O16" s="8">
        <f t="shared" ref="O16:R16" si="27">O14/O15</f>
        <v>0.80780903783783808</v>
      </c>
      <c r="P16" s="8">
        <f t="shared" si="27"/>
        <v>1.0449461621621627</v>
      </c>
      <c r="Q16" s="8">
        <f t="shared" si="27"/>
        <v>1.0665145945945946</v>
      </c>
      <c r="R16" s="8">
        <f t="shared" si="27"/>
        <v>1.0536333621621621</v>
      </c>
      <c r="T16" s="17">
        <f>SUM(C16:F16)</f>
        <v>3.0978378378378402</v>
      </c>
      <c r="U16" s="17">
        <f>SUM(G16:J16)</f>
        <v>3.7037837837837841</v>
      </c>
      <c r="V16" s="17">
        <f>SUM(K16:N16)</f>
        <v>3.2720432432432434</v>
      </c>
      <c r="W16" s="17">
        <f>W14/W15</f>
        <v>3.9729031567567574</v>
      </c>
      <c r="X16" s="17">
        <f t="shared" ref="X16:AF16" si="28">X14/X15</f>
        <v>4.8505487770810802</v>
      </c>
      <c r="Y16" s="17">
        <f t="shared" si="28"/>
        <v>5.5573475739243241</v>
      </c>
      <c r="Z16" s="17">
        <f t="shared" si="28"/>
        <v>6.2072270573344888</v>
      </c>
      <c r="AA16" s="17">
        <f t="shared" si="28"/>
        <v>6.6012051260816467</v>
      </c>
      <c r="AB16" s="17">
        <f t="shared" si="28"/>
        <v>6.9472980667495374</v>
      </c>
      <c r="AC16" s="17">
        <f t="shared" si="28"/>
        <v>7.1711723396404734</v>
      </c>
      <c r="AD16" s="17">
        <f t="shared" si="28"/>
        <v>7.4004272823938972</v>
      </c>
      <c r="AE16" s="17">
        <f t="shared" si="28"/>
        <v>7.5130389220264311</v>
      </c>
      <c r="AF16" s="17">
        <f t="shared" si="28"/>
        <v>7.6255046981501273</v>
      </c>
    </row>
    <row r="18" spans="2:35" x14ac:dyDescent="0.3">
      <c r="B18" s="1" t="s">
        <v>36</v>
      </c>
      <c r="C18" s="12">
        <f>C5/C3</f>
        <v>0.52972322503008418</v>
      </c>
      <c r="D18" s="12">
        <f t="shared" ref="D18:N18" si="29">D5/D3</f>
        <v>0.52363074204947002</v>
      </c>
      <c r="E18" s="12">
        <f t="shared" si="29"/>
        <v>0.52165612695382413</v>
      </c>
      <c r="F18" s="12">
        <f t="shared" si="29"/>
        <v>0.52719962157048272</v>
      </c>
      <c r="G18" s="12">
        <f t="shared" si="29"/>
        <v>0.50898840548877777</v>
      </c>
      <c r="H18" s="12">
        <f t="shared" si="29"/>
        <v>0.51169174461163069</v>
      </c>
      <c r="I18" s="12">
        <f t="shared" si="29"/>
        <v>0.535125095597072</v>
      </c>
      <c r="J18" s="12">
        <f t="shared" si="29"/>
        <v>0.52792151789564479</v>
      </c>
      <c r="K18" s="12">
        <f t="shared" si="29"/>
        <v>0.51636090548224445</v>
      </c>
      <c r="L18" s="12">
        <f t="shared" si="29"/>
        <v>0.47582340574632093</v>
      </c>
      <c r="M18" s="12">
        <f t="shared" si="29"/>
        <v>0.52072072072072073</v>
      </c>
      <c r="N18" s="12">
        <f t="shared" si="29"/>
        <v>0.52</v>
      </c>
      <c r="O18" s="12">
        <f t="shared" ref="O18:R18" si="30">O5/O3</f>
        <v>0.52</v>
      </c>
      <c r="P18" s="12">
        <f t="shared" si="30"/>
        <v>0.52</v>
      </c>
      <c r="Q18" s="12">
        <f t="shared" si="30"/>
        <v>0.52</v>
      </c>
      <c r="R18" s="12">
        <f t="shared" si="30"/>
        <v>0.52</v>
      </c>
      <c r="T18" s="12">
        <f t="shared" ref="T18:AF18" si="31">T5/T3</f>
        <v>0.52550945823465789</v>
      </c>
      <c r="U18" s="12">
        <f t="shared" si="31"/>
        <v>0.52070833112090475</v>
      </c>
      <c r="V18" s="12">
        <f t="shared" si="31"/>
        <v>0.5126018845019944</v>
      </c>
      <c r="W18" s="12">
        <f t="shared" si="31"/>
        <v>0.52</v>
      </c>
      <c r="X18" s="12">
        <f t="shared" si="31"/>
        <v>0.52</v>
      </c>
      <c r="Y18" s="12">
        <f t="shared" si="31"/>
        <v>0.52</v>
      </c>
      <c r="Z18" s="12">
        <f t="shared" si="31"/>
        <v>0.52</v>
      </c>
      <c r="AA18" s="12">
        <f t="shared" si="31"/>
        <v>0.52</v>
      </c>
      <c r="AB18" s="12">
        <f t="shared" si="31"/>
        <v>0.52</v>
      </c>
      <c r="AC18" s="12">
        <f t="shared" si="31"/>
        <v>0.52</v>
      </c>
      <c r="AD18" s="12">
        <f t="shared" si="31"/>
        <v>0.52</v>
      </c>
      <c r="AE18" s="12">
        <f t="shared" si="31"/>
        <v>0.52</v>
      </c>
      <c r="AF18" s="12">
        <f t="shared" si="31"/>
        <v>0.52</v>
      </c>
    </row>
    <row r="19" spans="2:35" x14ac:dyDescent="0.3">
      <c r="B19" s="1" t="s">
        <v>37</v>
      </c>
      <c r="C19" s="12">
        <f>C9/C3</f>
        <v>0.23910950661853184</v>
      </c>
      <c r="D19" s="12">
        <f t="shared" ref="D19:N19" si="32">D9/D3</f>
        <v>0.24094522968197885</v>
      </c>
      <c r="E19" s="12">
        <f t="shared" si="32"/>
        <v>0.24245316787972804</v>
      </c>
      <c r="F19" s="12">
        <f t="shared" si="32"/>
        <v>0.23084200567644308</v>
      </c>
      <c r="G19" s="12">
        <f t="shared" si="32"/>
        <v>0.23582597596000426</v>
      </c>
      <c r="H19" s="12">
        <f t="shared" si="32"/>
        <v>0.24257828385522576</v>
      </c>
      <c r="I19" s="12">
        <f t="shared" si="32"/>
        <v>0.24789686441603839</v>
      </c>
      <c r="J19" s="12">
        <f t="shared" si="32"/>
        <v>0.23673997412677883</v>
      </c>
      <c r="K19" s="12">
        <f t="shared" si="32"/>
        <v>0.23624074670099776</v>
      </c>
      <c r="L19" s="12">
        <f t="shared" si="32"/>
        <v>4.0644709180098069E-2</v>
      </c>
      <c r="M19" s="12">
        <f t="shared" si="32"/>
        <v>0.25011261261261258</v>
      </c>
      <c r="N19" s="12">
        <f t="shared" si="32"/>
        <v>0.23222752362241558</v>
      </c>
      <c r="O19" s="12">
        <f t="shared" ref="O19:R19" si="33">O9/O3</f>
        <v>0.20936893500024198</v>
      </c>
      <c r="P19" s="12">
        <f t="shared" si="33"/>
        <v>0.24657770770069307</v>
      </c>
      <c r="Q19" s="12">
        <f t="shared" si="33"/>
        <v>0.25245691343517435</v>
      </c>
      <c r="R19" s="12">
        <f t="shared" si="33"/>
        <v>0.23100950346377319</v>
      </c>
      <c r="T19" s="12">
        <f t="shared" ref="T19:AF19" si="34">T9/T3</f>
        <v>0.23837090313715181</v>
      </c>
      <c r="U19" s="12">
        <f t="shared" si="34"/>
        <v>0.24074762385174958</v>
      </c>
      <c r="V19" s="12">
        <f t="shared" si="34"/>
        <v>0.20697728192381082</v>
      </c>
      <c r="W19" s="12">
        <f t="shared" si="34"/>
        <v>0.23523423981714731</v>
      </c>
      <c r="X19" s="12">
        <f t="shared" si="34"/>
        <v>0.24890204087163426</v>
      </c>
      <c r="Y19" s="12">
        <f t="shared" si="34"/>
        <v>0.25735781715111739</v>
      </c>
      <c r="Z19" s="12">
        <f t="shared" si="34"/>
        <v>0.26477099903388929</v>
      </c>
      <c r="AA19" s="12">
        <f t="shared" si="34"/>
        <v>0.26728656667365014</v>
      </c>
      <c r="AB19" s="12">
        <f t="shared" si="34"/>
        <v>0.26977141596980325</v>
      </c>
      <c r="AC19" s="12">
        <f t="shared" si="34"/>
        <v>0.26982526214613162</v>
      </c>
      <c r="AD19" s="12">
        <f t="shared" si="34"/>
        <v>0.26987806276563808</v>
      </c>
      <c r="AE19" s="12">
        <f t="shared" si="34"/>
        <v>0.26826555114887868</v>
      </c>
      <c r="AF19" s="12">
        <f t="shared" si="34"/>
        <v>0.26663671801659844</v>
      </c>
    </row>
    <row r="20" spans="2:35" x14ac:dyDescent="0.3">
      <c r="B20" s="1" t="s">
        <v>57</v>
      </c>
      <c r="C20" s="12">
        <f>C14/C3</f>
        <v>0.16413959085439228</v>
      </c>
      <c r="D20" s="12">
        <f t="shared" ref="D20:AF20" si="35">D14/D3</f>
        <v>0.17700971731448767</v>
      </c>
      <c r="E20" s="12">
        <f t="shared" si="35"/>
        <v>0.17491946068488257</v>
      </c>
      <c r="F20" s="12">
        <f t="shared" si="35"/>
        <v>0.15350047303689723</v>
      </c>
      <c r="G20" s="12">
        <f t="shared" si="35"/>
        <v>0.17827890649930861</v>
      </c>
      <c r="H20" s="12">
        <f t="shared" si="35"/>
        <v>0.1850345668971127</v>
      </c>
      <c r="I20" s="12">
        <f t="shared" si="35"/>
        <v>0.18354637823664363</v>
      </c>
      <c r="J20" s="12">
        <f t="shared" si="35"/>
        <v>0.18068132815868915</v>
      </c>
      <c r="K20" s="12">
        <f t="shared" si="35"/>
        <v>0.1775560562171441</v>
      </c>
      <c r="L20" s="12">
        <f t="shared" si="35"/>
        <v>1.5942536790469478E-2</v>
      </c>
      <c r="M20" s="12">
        <f t="shared" si="35"/>
        <v>0.19234234234234232</v>
      </c>
      <c r="N20" s="12">
        <f t="shared" si="35"/>
        <v>0.24317335578632238</v>
      </c>
      <c r="O20" s="12">
        <f t="shared" si="35"/>
        <v>0.15718740941285864</v>
      </c>
      <c r="P20" s="12">
        <f t="shared" si="35"/>
        <v>0.18815214513742903</v>
      </c>
      <c r="Q20" s="12">
        <f t="shared" si="35"/>
        <v>0.19320916568742658</v>
      </c>
      <c r="R20" s="12">
        <f t="shared" si="35"/>
        <v>0.17704633472211245</v>
      </c>
      <c r="T20" s="12">
        <f t="shared" si="35"/>
        <v>0.16755840130982674</v>
      </c>
      <c r="U20" s="12">
        <f t="shared" si="35"/>
        <v>0.18191472415440982</v>
      </c>
      <c r="V20" s="12">
        <f t="shared" si="35"/>
        <v>0.17564599109775147</v>
      </c>
      <c r="W20" s="12">
        <f t="shared" si="35"/>
        <v>0.1792498843391136</v>
      </c>
      <c r="X20" s="12">
        <f t="shared" si="35"/>
        <v>0.19197157594112021</v>
      </c>
      <c r="Y20" s="12">
        <f t="shared" si="35"/>
        <v>0.19994977903975611</v>
      </c>
      <c r="Z20" s="12">
        <f t="shared" si="35"/>
        <v>0.20678891057921894</v>
      </c>
      <c r="AA20" s="12">
        <f t="shared" si="35"/>
        <v>0.20944188718572929</v>
      </c>
      <c r="AB20" s="12">
        <f t="shared" si="35"/>
        <v>0.21194486900359907</v>
      </c>
      <c r="AC20" s="12">
        <f t="shared" si="35"/>
        <v>0.21240263977297877</v>
      </c>
      <c r="AD20" s="12">
        <f t="shared" si="35"/>
        <v>0.21280867173978235</v>
      </c>
      <c r="AE20" s="12">
        <f t="shared" si="35"/>
        <v>0.21181074730557845</v>
      </c>
      <c r="AF20" s="12">
        <f t="shared" si="35"/>
        <v>0.21076610752923555</v>
      </c>
    </row>
    <row r="21" spans="2:35" x14ac:dyDescent="0.3">
      <c r="B21" s="1" t="s">
        <v>38</v>
      </c>
      <c r="G21" s="12">
        <f>G3/C3-1</f>
        <v>0.13128760529482553</v>
      </c>
      <c r="H21" s="12">
        <f t="shared" ref="H21:N21" si="36">H3/D3-1</f>
        <v>8.6130742049469911E-2</v>
      </c>
      <c r="I21" s="12">
        <f t="shared" si="36"/>
        <v>9.2113112993676083E-2</v>
      </c>
      <c r="J21" s="12">
        <f t="shared" si="36"/>
        <v>9.6972563859980987E-2</v>
      </c>
      <c r="K21" s="12">
        <f t="shared" si="36"/>
        <v>-8.509733007126874E-3</v>
      </c>
      <c r="L21" s="12">
        <f t="shared" si="36"/>
        <v>-0.41968279788531926</v>
      </c>
      <c r="M21" s="12">
        <f t="shared" si="36"/>
        <v>-2.9826286463454532E-2</v>
      </c>
      <c r="N21" s="12">
        <f t="shared" si="36"/>
        <v>0.15232858990944353</v>
      </c>
      <c r="O21" s="12">
        <f t="shared" ref="O21" si="37">O3/K3-1</f>
        <v>2.0000000000000018E-2</v>
      </c>
      <c r="P21" s="12">
        <f t="shared" ref="P21" si="38">P3/L3-1</f>
        <v>0.80000000000000027</v>
      </c>
      <c r="Q21" s="12">
        <f t="shared" ref="Q21" si="39">Q3/M3-1</f>
        <v>0.14999999999999991</v>
      </c>
      <c r="R21" s="12">
        <f t="shared" ref="R21" si="40">R3/N3-1</f>
        <v>3.0000000000000027E-2</v>
      </c>
      <c r="U21" s="12">
        <f>U3/T3-1</f>
        <v>0.10124842850042404</v>
      </c>
      <c r="V21" s="12">
        <f>V3/U3-1</f>
        <v>-8.1452769075558873E-2</v>
      </c>
      <c r="W21" s="12">
        <f t="shared" ref="W21:AF21" si="41">W3/V3-1</f>
        <v>0.18514047054743044</v>
      </c>
      <c r="X21" s="12">
        <f t="shared" si="41"/>
        <v>0.1399999999999999</v>
      </c>
      <c r="Y21" s="12">
        <f t="shared" si="41"/>
        <v>0.10000000000000009</v>
      </c>
      <c r="Z21" s="12">
        <f t="shared" si="41"/>
        <v>8.0000000000000071E-2</v>
      </c>
      <c r="AA21" s="12">
        <f t="shared" si="41"/>
        <v>5.0000000000000044E-2</v>
      </c>
      <c r="AB21" s="12">
        <f t="shared" si="41"/>
        <v>4.0000000000000036E-2</v>
      </c>
      <c r="AC21" s="12">
        <f t="shared" si="41"/>
        <v>3.0000000000000027E-2</v>
      </c>
      <c r="AD21" s="12">
        <f t="shared" si="41"/>
        <v>3.0000000000000027E-2</v>
      </c>
      <c r="AE21" s="12">
        <f t="shared" si="41"/>
        <v>2.0000000000000018E-2</v>
      </c>
      <c r="AF21" s="12">
        <f t="shared" si="41"/>
        <v>2.0000000000000018E-2</v>
      </c>
    </row>
    <row r="22" spans="2:35" x14ac:dyDescent="0.3">
      <c r="AH22" t="s">
        <v>39</v>
      </c>
      <c r="AI22" s="13">
        <v>-0.01</v>
      </c>
    </row>
    <row r="23" spans="2:35" x14ac:dyDescent="0.3">
      <c r="B23" s="7" t="s">
        <v>31</v>
      </c>
      <c r="C23" s="18">
        <f>C12/C11</f>
        <v>0.29475308641975317</v>
      </c>
      <c r="D23" s="18">
        <f t="shared" ref="D23:N23" si="42">D12/D11</f>
        <v>0.24988301357042578</v>
      </c>
      <c r="E23" s="18">
        <f t="shared" si="42"/>
        <v>0.25126903553299479</v>
      </c>
      <c r="F23" s="18">
        <f t="shared" si="42"/>
        <v>0.29742765273311844</v>
      </c>
      <c r="G23" s="18">
        <f t="shared" si="42"/>
        <v>0.20976744186046509</v>
      </c>
      <c r="H23" s="18">
        <f t="shared" si="42"/>
        <v>0.20017482517482513</v>
      </c>
      <c r="I23" s="18">
        <f t="shared" si="42"/>
        <v>0.19971604353999062</v>
      </c>
      <c r="J23" s="18">
        <f t="shared" si="42"/>
        <v>0.20791607057701469</v>
      </c>
      <c r="K23" s="18">
        <f t="shared" si="42"/>
        <v>0.19990342829550939</v>
      </c>
      <c r="L23" s="18">
        <f t="shared" si="42"/>
        <v>0.19327731092437012</v>
      </c>
      <c r="M23" s="18">
        <f t="shared" si="42"/>
        <v>0.17968375658840441</v>
      </c>
      <c r="N23" s="18">
        <f t="shared" si="42"/>
        <v>-9.707590491626146E-2</v>
      </c>
      <c r="O23" s="18">
        <f t="shared" ref="O23:R23" si="43">O12/O11</f>
        <v>0.19999999999999998</v>
      </c>
      <c r="P23" s="18">
        <f t="shared" si="43"/>
        <v>0.2</v>
      </c>
      <c r="Q23" s="18">
        <f t="shared" si="43"/>
        <v>0.2</v>
      </c>
      <c r="R23" s="18">
        <f t="shared" si="43"/>
        <v>0.2</v>
      </c>
      <c r="T23" s="18">
        <f>T12/T11</f>
        <v>0.27245168624478955</v>
      </c>
      <c r="U23" s="18">
        <f>U12/U11</f>
        <v>0.20432469935245143</v>
      </c>
      <c r="V23" s="18">
        <f>V12/V11</f>
        <v>8.7256371814092848E-2</v>
      </c>
      <c r="W23" s="18">
        <f t="shared" ref="W23:AF23" si="44">W12/W11</f>
        <v>0.2</v>
      </c>
      <c r="X23" s="18">
        <f t="shared" si="44"/>
        <v>0.2</v>
      </c>
      <c r="Y23" s="18">
        <f t="shared" si="44"/>
        <v>0.19999999999999998</v>
      </c>
      <c r="Z23" s="18">
        <f t="shared" si="44"/>
        <v>0.19999999999999998</v>
      </c>
      <c r="AA23" s="18">
        <f t="shared" si="44"/>
        <v>0.2</v>
      </c>
      <c r="AB23" s="18">
        <f t="shared" si="44"/>
        <v>0.2</v>
      </c>
      <c r="AC23" s="18">
        <f t="shared" si="44"/>
        <v>0.2</v>
      </c>
      <c r="AD23" s="18">
        <f t="shared" si="44"/>
        <v>0.20000000000000004</v>
      </c>
      <c r="AE23" s="18">
        <f t="shared" si="44"/>
        <v>0.2</v>
      </c>
      <c r="AF23" s="18">
        <f t="shared" si="44"/>
        <v>0.2</v>
      </c>
      <c r="AH23" t="s">
        <v>40</v>
      </c>
      <c r="AI23" s="13">
        <v>0.06</v>
      </c>
    </row>
    <row r="24" spans="2:35" x14ac:dyDescent="0.3">
      <c r="AH24" t="s">
        <v>41</v>
      </c>
      <c r="AI24" s="5">
        <f>NPV(AI23,V14:DL14)</f>
        <v>19007.424622603055</v>
      </c>
    </row>
    <row r="25" spans="2:35" x14ac:dyDescent="0.3">
      <c r="B25" t="s">
        <v>55</v>
      </c>
      <c r="C25" s="13"/>
      <c r="D25" s="13"/>
      <c r="E25" s="13"/>
      <c r="F25" s="13"/>
      <c r="G25" s="13">
        <f t="shared" ref="G25:R25" si="45">G6/C6-1</f>
        <v>3.4638554216867457E-2</v>
      </c>
      <c r="H25" s="13">
        <f t="shared" si="45"/>
        <v>4.1379310344827447E-2</v>
      </c>
      <c r="I25" s="13">
        <f t="shared" si="45"/>
        <v>0.1058688147295741</v>
      </c>
      <c r="J25" s="13">
        <f t="shared" si="45"/>
        <v>8.045977011494676E-3</v>
      </c>
      <c r="K25" s="13">
        <f t="shared" si="45"/>
        <v>0.14992721979621537</v>
      </c>
      <c r="L25" s="13">
        <f t="shared" si="45"/>
        <v>-0.13796909492273735</v>
      </c>
      <c r="M25" s="13">
        <f t="shared" si="45"/>
        <v>-0.20187304890738811</v>
      </c>
      <c r="N25" s="13">
        <f t="shared" si="45"/>
        <v>0.16647662485746872</v>
      </c>
      <c r="O25" s="13">
        <f t="shared" si="45"/>
        <v>5.0000000000000044E-2</v>
      </c>
      <c r="P25" s="13">
        <f t="shared" si="45"/>
        <v>0.10000000000000009</v>
      </c>
      <c r="Q25" s="13">
        <f t="shared" si="45"/>
        <v>0.14999999999999991</v>
      </c>
      <c r="R25" s="13">
        <f t="shared" si="45"/>
        <v>5.0000000000000044E-2</v>
      </c>
      <c r="T25" s="13"/>
      <c r="U25" s="13">
        <f>U6/T6-1</f>
        <v>4.8273754964863969E-2</v>
      </c>
      <c r="V25" s="13">
        <f t="shared" ref="V25:AF25" si="46">V6/U6-1</f>
        <v>-2.0402215097639176E-2</v>
      </c>
      <c r="W25" s="13">
        <f t="shared" si="46"/>
        <v>8.4439155013388945E-2</v>
      </c>
      <c r="X25" s="13">
        <f t="shared" si="46"/>
        <v>0.10000000000000009</v>
      </c>
      <c r="Y25" s="13">
        <f t="shared" si="46"/>
        <v>8.0000000000000071E-2</v>
      </c>
      <c r="Z25" s="13">
        <f t="shared" si="46"/>
        <v>5.0000000000000044E-2</v>
      </c>
      <c r="AA25" s="13">
        <f t="shared" si="46"/>
        <v>4.0000000000000036E-2</v>
      </c>
      <c r="AB25" s="13">
        <f t="shared" si="46"/>
        <v>3.0000000000000027E-2</v>
      </c>
      <c r="AC25" s="13">
        <f t="shared" si="46"/>
        <v>3.0000000000000027E-2</v>
      </c>
      <c r="AD25" s="13">
        <f t="shared" si="46"/>
        <v>3.0000000000000027E-2</v>
      </c>
      <c r="AE25" s="13">
        <f t="shared" si="46"/>
        <v>2.0000000000000018E-2</v>
      </c>
      <c r="AF25" s="13">
        <f t="shared" si="46"/>
        <v>2.0000000000000018E-2</v>
      </c>
      <c r="AH25" t="s">
        <v>46</v>
      </c>
      <c r="AI25" s="5">
        <f>Main!D8</f>
        <v>5460.6</v>
      </c>
    </row>
    <row r="26" spans="2:35" x14ac:dyDescent="0.3">
      <c r="B26" t="s">
        <v>49</v>
      </c>
      <c r="C26" s="13"/>
      <c r="D26" s="13"/>
      <c r="E26" s="13"/>
      <c r="F26" s="13"/>
      <c r="G26" s="13">
        <f>G7/C7-1</f>
        <v>7.0104287369640694E-2</v>
      </c>
      <c r="H26" s="13">
        <f t="shared" ref="H26:R26" si="47">H7/D7-1</f>
        <v>2.4067388688327362E-2</v>
      </c>
      <c r="I26" s="13">
        <f t="shared" si="47"/>
        <v>0.13022284122562677</v>
      </c>
      <c r="J26" s="13">
        <f t="shared" si="47"/>
        <v>0.13325031133250387</v>
      </c>
      <c r="K26" s="13">
        <f t="shared" si="47"/>
        <v>-1.8949648077964287E-2</v>
      </c>
      <c r="L26" s="13">
        <f t="shared" si="47"/>
        <v>-2.4089306698002355E-2</v>
      </c>
      <c r="M26" s="13">
        <f t="shared" si="47"/>
        <v>-3.0191004313000702E-2</v>
      </c>
      <c r="N26" s="13">
        <f t="shared" si="47"/>
        <v>0.11373626373626289</v>
      </c>
      <c r="O26" s="13">
        <f t="shared" si="47"/>
        <v>0.14999999999999991</v>
      </c>
      <c r="P26" s="13">
        <f t="shared" si="47"/>
        <v>0.14999999999999991</v>
      </c>
      <c r="Q26" s="13">
        <f t="shared" si="47"/>
        <v>0.14999999999999991</v>
      </c>
      <c r="R26" s="13">
        <f t="shared" si="47"/>
        <v>2.0000000000000018E-2</v>
      </c>
      <c r="T26" s="13"/>
      <c r="U26" s="13">
        <f t="shared" ref="U26:AF26" si="48">U7/T7-1</f>
        <v>8.7402799377916285E-2</v>
      </c>
      <c r="V26" s="13">
        <f t="shared" si="48"/>
        <v>1.1727688787184887E-2</v>
      </c>
      <c r="W26" s="13">
        <f t="shared" si="48"/>
        <v>0.11274950523042149</v>
      </c>
      <c r="X26" s="13">
        <f t="shared" si="48"/>
        <v>8.0000000000000071E-2</v>
      </c>
      <c r="Y26" s="13">
        <f t="shared" si="48"/>
        <v>6.0000000000000053E-2</v>
      </c>
      <c r="Z26" s="13">
        <f t="shared" si="48"/>
        <v>5.0000000000000044E-2</v>
      </c>
      <c r="AA26" s="13">
        <f t="shared" si="48"/>
        <v>4.0000000000000036E-2</v>
      </c>
      <c r="AB26" s="13">
        <f t="shared" si="48"/>
        <v>3.0000000000000027E-2</v>
      </c>
      <c r="AC26" s="13">
        <f t="shared" si="48"/>
        <v>3.0000000000000027E-2</v>
      </c>
      <c r="AD26" s="13">
        <f t="shared" si="48"/>
        <v>3.0000000000000027E-2</v>
      </c>
      <c r="AE26" s="13">
        <f t="shared" si="48"/>
        <v>3.0000000000000027E-2</v>
      </c>
      <c r="AF26" s="13">
        <f t="shared" si="48"/>
        <v>3.0000000000000027E-2</v>
      </c>
      <c r="AH26" t="s">
        <v>42</v>
      </c>
      <c r="AI26" s="5">
        <f>AI24+AI25</f>
        <v>24468.024622603058</v>
      </c>
    </row>
    <row r="27" spans="2:35" x14ac:dyDescent="0.3">
      <c r="AH27" t="s">
        <v>43</v>
      </c>
      <c r="AI27" s="5">
        <f>AI26/AF15</f>
        <v>132.25959255461112</v>
      </c>
    </row>
    <row r="28" spans="2:35" x14ac:dyDescent="0.3">
      <c r="AH28" t="s">
        <v>44</v>
      </c>
      <c r="AI28" s="5">
        <f>Main!D3</f>
        <v>163.80000000000001</v>
      </c>
    </row>
    <row r="29" spans="2:35" x14ac:dyDescent="0.3">
      <c r="AH29" s="1" t="s">
        <v>45</v>
      </c>
      <c r="AI29" s="12">
        <f>AI27/AI28-1</f>
        <v>-0.19255438000847924</v>
      </c>
    </row>
    <row r="30" spans="2:35" x14ac:dyDescent="0.3">
      <c r="AH30" t="s">
        <v>48</v>
      </c>
      <c r="AI30" s="14" t="s">
        <v>56</v>
      </c>
    </row>
    <row r="32" spans="2:35" x14ac:dyDescent="0.3">
      <c r="AH32" t="s">
        <v>47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ignoredErrors>
    <ignoredError xmlns:x16r3="http://schemas.microsoft.com/office/spreadsheetml/2018/08/main" sqref="AI25" x16r3:misleadingForma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2020-09-11T14:21:13Z</dcterms:created>
  <dcterms:modified xsi:type="dcterms:W3CDTF">2021-03-02T16:10:49Z</dcterms:modified>
</cp:coreProperties>
</file>