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s\Desktop\Financial Analysis\"/>
    </mc:Choice>
  </mc:AlternateContent>
  <xr:revisionPtr revIDLastSave="0" documentId="13_ncr:1_{31B337ED-816A-4714-8362-9FAF807BB0CC}" xr6:coauthVersionLast="47" xr6:coauthVersionMax="47" xr10:uidLastSave="{00000000-0000-0000-0000-000000000000}"/>
  <bookViews>
    <workbookView xWindow="-108" yWindow="-108" windowWidth="23256" windowHeight="12576" activeTab="1" xr2:uid="{36256194-E29F-4FBF-A799-FCE3EDFD57DF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7" i="2" l="1"/>
  <c r="AJ48" i="2" s="1"/>
  <c r="AJ46" i="2"/>
  <c r="AJ45" i="2"/>
  <c r="AJ44" i="2"/>
  <c r="AJ43" i="2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BJ40" i="2" s="1"/>
  <c r="BK40" i="2" s="1"/>
  <c r="BL40" i="2" s="1"/>
  <c r="BM40" i="2" s="1"/>
  <c r="BN40" i="2" s="1"/>
  <c r="BO40" i="2" s="1"/>
  <c r="BP40" i="2" s="1"/>
  <c r="BQ40" i="2" s="1"/>
  <c r="BR40" i="2" s="1"/>
  <c r="BS40" i="2" s="1"/>
  <c r="BT40" i="2" s="1"/>
  <c r="BU40" i="2" s="1"/>
  <c r="BV40" i="2" s="1"/>
  <c r="BW40" i="2" s="1"/>
  <c r="BX40" i="2" s="1"/>
  <c r="BY40" i="2" s="1"/>
  <c r="BZ40" i="2" s="1"/>
  <c r="CA40" i="2" s="1"/>
  <c r="CB40" i="2" s="1"/>
  <c r="CC40" i="2" s="1"/>
  <c r="CD40" i="2" s="1"/>
  <c r="CE40" i="2" s="1"/>
  <c r="CF40" i="2" s="1"/>
  <c r="CG40" i="2" s="1"/>
  <c r="CH40" i="2" s="1"/>
  <c r="CI40" i="2" s="1"/>
  <c r="CJ40" i="2" s="1"/>
  <c r="CK40" i="2" s="1"/>
  <c r="CL40" i="2" s="1"/>
  <c r="CM40" i="2" s="1"/>
  <c r="CN40" i="2" s="1"/>
  <c r="CO40" i="2" s="1"/>
  <c r="CP40" i="2" s="1"/>
  <c r="CQ40" i="2" s="1"/>
  <c r="CR40" i="2" s="1"/>
  <c r="CS40" i="2" s="1"/>
  <c r="CT40" i="2" s="1"/>
  <c r="CU40" i="2" s="1"/>
  <c r="CV40" i="2" s="1"/>
  <c r="CW40" i="2" s="1"/>
  <c r="CX40" i="2" s="1"/>
  <c r="CY40" i="2" s="1"/>
  <c r="CZ40" i="2" s="1"/>
  <c r="DA40" i="2" s="1"/>
  <c r="DB40" i="2" s="1"/>
  <c r="DC40" i="2" s="1"/>
  <c r="DD40" i="2" s="1"/>
  <c r="DE40" i="2" s="1"/>
  <c r="DF40" i="2" s="1"/>
  <c r="DG40" i="2" s="1"/>
  <c r="DH40" i="2" s="1"/>
  <c r="DI40" i="2" s="1"/>
  <c r="DJ40" i="2" s="1"/>
  <c r="DK40" i="2" s="1"/>
  <c r="DL40" i="2" s="1"/>
  <c r="DM40" i="2" s="1"/>
  <c r="DN40" i="2" s="1"/>
  <c r="DO40" i="2" s="1"/>
  <c r="DP40" i="2" s="1"/>
  <c r="DQ40" i="2" s="1"/>
  <c r="DR40" i="2" s="1"/>
  <c r="DS40" i="2" s="1"/>
  <c r="DT40" i="2" s="1"/>
  <c r="DU40" i="2" s="1"/>
  <c r="DV40" i="2" s="1"/>
  <c r="DW40" i="2" s="1"/>
  <c r="DX40" i="2" s="1"/>
  <c r="DY40" i="2" s="1"/>
  <c r="DZ40" i="2" s="1"/>
  <c r="EA40" i="2" s="1"/>
  <c r="EB40" i="2" s="1"/>
  <c r="EC40" i="2" s="1"/>
  <c r="ED40" i="2" s="1"/>
  <c r="EE40" i="2" s="1"/>
  <c r="EF40" i="2" s="1"/>
  <c r="EG40" i="2" s="1"/>
  <c r="EH40" i="2" s="1"/>
  <c r="EI40" i="2" s="1"/>
  <c r="EJ40" i="2" s="1"/>
  <c r="EK40" i="2" s="1"/>
  <c r="EL40" i="2" s="1"/>
  <c r="EM40" i="2" s="1"/>
  <c r="EN40" i="2" s="1"/>
  <c r="AH40" i="2"/>
  <c r="AA40" i="2"/>
  <c r="Z40" i="2"/>
  <c r="AG38" i="2"/>
  <c r="AG40" i="2" s="1"/>
  <c r="AF38" i="2"/>
  <c r="AF40" i="2" s="1"/>
  <c r="AE38" i="2"/>
  <c r="AE40" i="2" s="1"/>
  <c r="AD38" i="2"/>
  <c r="AD40" i="2" s="1"/>
  <c r="AC38" i="2"/>
  <c r="AC40" i="2" s="1"/>
  <c r="AB38" i="2"/>
  <c r="AB40" i="2" s="1"/>
  <c r="AA38" i="2"/>
  <c r="Z38" i="2"/>
  <c r="Y38" i="2"/>
  <c r="Y40" i="2" s="1"/>
  <c r="X38" i="2"/>
  <c r="X40" i="2" s="1"/>
  <c r="W38" i="2"/>
  <c r="W40" i="2" s="1"/>
  <c r="AA31" i="2"/>
  <c r="AB31" i="2" s="1"/>
  <c r="AC31" i="2" s="1"/>
  <c r="AD31" i="2" s="1"/>
  <c r="AE31" i="2" s="1"/>
  <c r="AF31" i="2" s="1"/>
  <c r="AG31" i="2" s="1"/>
  <c r="Z31" i="2"/>
  <c r="Y31" i="2"/>
  <c r="X31" i="2"/>
  <c r="W31" i="2"/>
  <c r="AB28" i="2"/>
  <c r="AC28" i="2" s="1"/>
  <c r="AD28" i="2" s="1"/>
  <c r="AE28" i="2" s="1"/>
  <c r="AF28" i="2" s="1"/>
  <c r="AG28" i="2" s="1"/>
  <c r="AA28" i="2"/>
  <c r="Z28" i="2"/>
  <c r="Y28" i="2"/>
  <c r="X28" i="2"/>
  <c r="W28" i="2"/>
  <c r="AG27" i="2"/>
  <c r="AF27" i="2"/>
  <c r="AE27" i="2"/>
  <c r="AD27" i="2"/>
  <c r="AC27" i="2"/>
  <c r="AB27" i="2"/>
  <c r="AA27" i="2"/>
  <c r="Z27" i="2"/>
  <c r="Y27" i="2"/>
  <c r="X27" i="2"/>
  <c r="W27" i="2"/>
  <c r="R24" i="2"/>
  <c r="Q24" i="2"/>
  <c r="P24" i="2"/>
  <c r="O24" i="2"/>
  <c r="R23" i="2"/>
  <c r="Q23" i="2"/>
  <c r="P23" i="2"/>
  <c r="O23" i="2"/>
  <c r="R22" i="2"/>
  <c r="Q22" i="2"/>
  <c r="P22" i="2"/>
  <c r="O22" i="2"/>
  <c r="R21" i="2"/>
  <c r="Q21" i="2"/>
  <c r="P21" i="2"/>
  <c r="O21" i="2"/>
  <c r="R20" i="2"/>
  <c r="Q20" i="2"/>
  <c r="P20" i="2"/>
  <c r="O20" i="2"/>
  <c r="R19" i="2"/>
  <c r="Q19" i="2"/>
  <c r="P19" i="2"/>
  <c r="O19" i="2"/>
  <c r="R18" i="2"/>
  <c r="Q18" i="2"/>
  <c r="P18" i="2"/>
  <c r="O18" i="2"/>
  <c r="R17" i="2"/>
  <c r="Q17" i="2"/>
  <c r="P17" i="2"/>
  <c r="O17" i="2"/>
  <c r="P15" i="2"/>
  <c r="R14" i="2"/>
  <c r="Q14" i="2"/>
  <c r="P14" i="2"/>
  <c r="O14" i="2"/>
  <c r="R13" i="2"/>
  <c r="R15" i="2" s="1"/>
  <c r="Q13" i="2"/>
  <c r="Q15" i="2" s="1"/>
  <c r="P13" i="2"/>
  <c r="O13" i="2"/>
  <c r="O15" i="2" s="1"/>
  <c r="R11" i="2"/>
  <c r="Q11" i="2"/>
  <c r="P11" i="2"/>
  <c r="O11" i="2"/>
  <c r="R10" i="2"/>
  <c r="Q10" i="2"/>
  <c r="P10" i="2"/>
  <c r="O10" i="2"/>
  <c r="R9" i="2"/>
  <c r="Q9" i="2"/>
  <c r="P9" i="2"/>
  <c r="O9" i="2"/>
  <c r="R8" i="2"/>
  <c r="P8" i="2"/>
  <c r="Q8" i="2"/>
  <c r="R7" i="2"/>
  <c r="Q7" i="2"/>
  <c r="P7" i="2"/>
  <c r="O7" i="2"/>
  <c r="R6" i="2"/>
  <c r="Q6" i="2"/>
  <c r="P6" i="2"/>
  <c r="R5" i="2"/>
  <c r="Q5" i="2"/>
  <c r="P5" i="2"/>
  <c r="O5" i="2"/>
  <c r="P3" i="2"/>
  <c r="P4" i="2" s="1"/>
  <c r="O3" i="2"/>
  <c r="R4" i="2"/>
  <c r="Q4" i="2"/>
  <c r="R3" i="2"/>
  <c r="Q3" i="2"/>
  <c r="J20" i="2"/>
  <c r="I20" i="2"/>
  <c r="H20" i="2"/>
  <c r="G20" i="2"/>
  <c r="N21" i="2"/>
  <c r="M21" i="2"/>
  <c r="L21" i="2"/>
  <c r="N20" i="2"/>
  <c r="M20" i="2"/>
  <c r="L20" i="2"/>
  <c r="N19" i="2"/>
  <c r="M19" i="2"/>
  <c r="L19" i="2"/>
  <c r="N17" i="2"/>
  <c r="M17" i="2"/>
  <c r="L17" i="2"/>
  <c r="H5" i="2"/>
  <c r="H9" i="2" s="1"/>
  <c r="H11" i="2" s="1"/>
  <c r="H13" i="2" s="1"/>
  <c r="H15" i="2" s="1"/>
  <c r="L5" i="2"/>
  <c r="L18" i="2" s="1"/>
  <c r="I5" i="2"/>
  <c r="I9" i="2" s="1"/>
  <c r="I11" i="2" s="1"/>
  <c r="I13" i="2" s="1"/>
  <c r="I15" i="2" s="1"/>
  <c r="M5" i="2"/>
  <c r="M18" i="2" s="1"/>
  <c r="J5" i="2"/>
  <c r="J9" i="2" s="1"/>
  <c r="J11" i="2" s="1"/>
  <c r="J13" i="2" s="1"/>
  <c r="J15" i="2" s="1"/>
  <c r="N14" i="2"/>
  <c r="D4" i="1"/>
  <c r="N5" i="2"/>
  <c r="N18" i="2" s="1"/>
  <c r="AJ24" i="2"/>
  <c r="AJ2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X6" i="2"/>
  <c r="Y6" i="2" s="1"/>
  <c r="Z6" i="2" s="1"/>
  <c r="AA6" i="2" s="1"/>
  <c r="AB6" i="2" s="1"/>
  <c r="AC6" i="2" s="1"/>
  <c r="AD6" i="2" s="1"/>
  <c r="AE6" i="2" s="1"/>
  <c r="AF6" i="2" s="1"/>
  <c r="AG6" i="2" s="1"/>
  <c r="V12" i="2"/>
  <c r="V10" i="2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V8" i="2"/>
  <c r="W21" i="2" s="1"/>
  <c r="V7" i="2"/>
  <c r="V6" i="2"/>
  <c r="V19" i="2" s="1"/>
  <c r="V3" i="2"/>
  <c r="W3" i="2" s="1"/>
  <c r="U19" i="2"/>
  <c r="U21" i="2"/>
  <c r="U17" i="2"/>
  <c r="U20" i="2"/>
  <c r="T20" i="2"/>
  <c r="K20" i="2"/>
  <c r="K21" i="2"/>
  <c r="K19" i="2"/>
  <c r="K17" i="2"/>
  <c r="U5" i="2"/>
  <c r="U9" i="2" s="1"/>
  <c r="U11" i="2" s="1"/>
  <c r="U13" i="2" s="1"/>
  <c r="U15" i="2" s="1"/>
  <c r="T5" i="2"/>
  <c r="T9" i="2" s="1"/>
  <c r="T11" i="2" s="1"/>
  <c r="T13" i="2" s="1"/>
  <c r="T15" i="2" s="1"/>
  <c r="G5" i="2"/>
  <c r="G9" i="2" s="1"/>
  <c r="G11" i="2" s="1"/>
  <c r="G13" i="2" s="1"/>
  <c r="G15" i="2" s="1"/>
  <c r="K5" i="2"/>
  <c r="K18" i="2" s="1"/>
  <c r="G3" i="1"/>
  <c r="D8" i="1"/>
  <c r="D6" i="1"/>
  <c r="D5" i="1"/>
  <c r="D9" i="1" s="1"/>
  <c r="O4" i="2" l="1"/>
  <c r="Y4" i="2" s="1"/>
  <c r="T27" i="2"/>
  <c r="T38" i="2" s="1"/>
  <c r="T40" i="2" s="1"/>
  <c r="I18" i="2"/>
  <c r="I22" i="2"/>
  <c r="I23" i="2"/>
  <c r="I24" i="2"/>
  <c r="G23" i="2"/>
  <c r="U27" i="2"/>
  <c r="U38" i="2" s="1"/>
  <c r="U40" i="2" s="1"/>
  <c r="H23" i="2"/>
  <c r="J24" i="2"/>
  <c r="G18" i="2"/>
  <c r="G22" i="2"/>
  <c r="G24" i="2"/>
  <c r="J18" i="2"/>
  <c r="J22" i="2"/>
  <c r="J23" i="2"/>
  <c r="H18" i="2"/>
  <c r="H22" i="2"/>
  <c r="H24" i="2"/>
  <c r="U23" i="2"/>
  <c r="U24" i="2"/>
  <c r="T24" i="2"/>
  <c r="U22" i="2"/>
  <c r="K9" i="2"/>
  <c r="K22" i="2" s="1"/>
  <c r="T18" i="2"/>
  <c r="M9" i="2"/>
  <c r="M22" i="2" s="1"/>
  <c r="W7" i="2"/>
  <c r="W20" i="2" s="1"/>
  <c r="W5" i="2"/>
  <c r="X3" i="2"/>
  <c r="X7" i="2" s="1"/>
  <c r="X20" i="2" s="1"/>
  <c r="U18" i="2"/>
  <c r="X21" i="2"/>
  <c r="N9" i="2"/>
  <c r="N22" i="2" s="1"/>
  <c r="T22" i="2"/>
  <c r="T23" i="2"/>
  <c r="L9" i="2"/>
  <c r="L22" i="2" s="1"/>
  <c r="Y19" i="2"/>
  <c r="X19" i="2"/>
  <c r="Y21" i="2"/>
  <c r="V21" i="2"/>
  <c r="V4" i="2"/>
  <c r="W19" i="2"/>
  <c r="W17" i="2"/>
  <c r="V17" i="2"/>
  <c r="V20" i="2"/>
  <c r="X4" i="2" l="1"/>
  <c r="X17" i="2"/>
  <c r="M11" i="2"/>
  <c r="M23" i="2" s="1"/>
  <c r="K11" i="2"/>
  <c r="K23" i="2" s="1"/>
  <c r="L11" i="2"/>
  <c r="L23" i="2" s="1"/>
  <c r="N11" i="2"/>
  <c r="N23" i="2" s="1"/>
  <c r="V5" i="2"/>
  <c r="V9" i="2" s="1"/>
  <c r="V22" i="2" s="1"/>
  <c r="Z4" i="2"/>
  <c r="Y3" i="2"/>
  <c r="X5" i="2"/>
  <c r="W9" i="2"/>
  <c r="Z19" i="2"/>
  <c r="Z21" i="2"/>
  <c r="K13" i="2" l="1"/>
  <c r="M13" i="2"/>
  <c r="M24" i="2" s="1"/>
  <c r="W11" i="2"/>
  <c r="W22" i="2"/>
  <c r="L13" i="2"/>
  <c r="L24" i="2" s="1"/>
  <c r="V18" i="2"/>
  <c r="K15" i="2"/>
  <c r="K24" i="2"/>
  <c r="N13" i="2"/>
  <c r="N24" i="2" s="1"/>
  <c r="X18" i="2"/>
  <c r="X9" i="2"/>
  <c r="Z3" i="2"/>
  <c r="Y17" i="2"/>
  <c r="Y7" i="2"/>
  <c r="Y20" i="2" s="1"/>
  <c r="Y5" i="2"/>
  <c r="AA19" i="2"/>
  <c r="AA21" i="2"/>
  <c r="V11" i="2"/>
  <c r="V23" i="2" s="1"/>
  <c r="M15" i="2" l="1"/>
  <c r="L15" i="2"/>
  <c r="Y9" i="2"/>
  <c r="Y18" i="2"/>
  <c r="X22" i="2"/>
  <c r="X11" i="2"/>
  <c r="W12" i="2"/>
  <c r="W13" i="2" s="1"/>
  <c r="AA3" i="2"/>
  <c r="Z5" i="2"/>
  <c r="Z17" i="2"/>
  <c r="Z7" i="2"/>
  <c r="Z20" i="2" s="1"/>
  <c r="N15" i="2"/>
  <c r="AB19" i="2"/>
  <c r="AB21" i="2"/>
  <c r="V13" i="2"/>
  <c r="V24" i="2" l="1"/>
  <c r="V27" i="2"/>
  <c r="V38" i="2" s="1"/>
  <c r="V40" i="2" s="1"/>
  <c r="W15" i="2"/>
  <c r="W24" i="2"/>
  <c r="X12" i="2"/>
  <c r="X23" i="2" s="1"/>
  <c r="Y22" i="2"/>
  <c r="Y11" i="2"/>
  <c r="W23" i="2"/>
  <c r="Z18" i="2"/>
  <c r="Z9" i="2"/>
  <c r="AB3" i="2"/>
  <c r="AA5" i="2"/>
  <c r="AA17" i="2"/>
  <c r="AA7" i="2"/>
  <c r="AA20" i="2" s="1"/>
  <c r="AC19" i="2"/>
  <c r="AC21" i="2"/>
  <c r="V15" i="2"/>
  <c r="Y12" i="2" l="1"/>
  <c r="Y23" i="2" s="1"/>
  <c r="X13" i="2"/>
  <c r="Z22" i="2"/>
  <c r="Z11" i="2"/>
  <c r="AA9" i="2"/>
  <c r="AC3" i="2"/>
  <c r="AB5" i="2"/>
  <c r="AB17" i="2"/>
  <c r="AB7" i="2"/>
  <c r="AB20" i="2" s="1"/>
  <c r="AD19" i="2"/>
  <c r="AD21" i="2"/>
  <c r="AB9" i="2" l="1"/>
  <c r="AB11" i="2" s="1"/>
  <c r="AB12" i="2" s="1"/>
  <c r="AB23" i="2" s="1"/>
  <c r="AD3" i="2"/>
  <c r="AC5" i="2"/>
  <c r="AC7" i="2"/>
  <c r="AC20" i="2" s="1"/>
  <c r="AC17" i="2"/>
  <c r="Z12" i="2"/>
  <c r="Z23" i="2" s="1"/>
  <c r="X15" i="2"/>
  <c r="X24" i="2"/>
  <c r="AA22" i="2"/>
  <c r="AA11" i="2"/>
  <c r="Y13" i="2"/>
  <c r="AE19" i="2"/>
  <c r="AE21" i="2"/>
  <c r="AB22" i="2" l="1"/>
  <c r="Z13" i="2"/>
  <c r="Z15" i="2" s="1"/>
  <c r="AB13" i="2"/>
  <c r="AB15" i="2" s="1"/>
  <c r="AA12" i="2"/>
  <c r="AA23" i="2" s="1"/>
  <c r="AE3" i="2"/>
  <c r="AD5" i="2"/>
  <c r="AD7" i="2"/>
  <c r="AD20" i="2" s="1"/>
  <c r="AD17" i="2"/>
  <c r="Y15" i="2"/>
  <c r="Y24" i="2"/>
  <c r="AC9" i="2"/>
  <c r="AG19" i="2"/>
  <c r="AF19" i="2"/>
  <c r="AF21" i="2"/>
  <c r="AA13" i="2" l="1"/>
  <c r="AA24" i="2" s="1"/>
  <c r="AB24" i="2"/>
  <c r="Z24" i="2"/>
  <c r="AC22" i="2"/>
  <c r="AC11" i="2"/>
  <c r="AD9" i="2"/>
  <c r="AF3" i="2"/>
  <c r="AE5" i="2"/>
  <c r="AE7" i="2"/>
  <c r="AE20" i="2" s="1"/>
  <c r="AE17" i="2"/>
  <c r="AA15" i="2"/>
  <c r="AG21" i="2"/>
  <c r="AD22" i="2" l="1"/>
  <c r="AD11" i="2"/>
  <c r="AE9" i="2"/>
  <c r="AG3" i="2"/>
  <c r="AF5" i="2"/>
  <c r="AF17" i="2"/>
  <c r="AF7" i="2"/>
  <c r="AF20" i="2" s="1"/>
  <c r="AC12" i="2"/>
  <c r="AC23" i="2" s="1"/>
  <c r="AC13" i="2" l="1"/>
  <c r="AC15" i="2" s="1"/>
  <c r="AF9" i="2"/>
  <c r="AG5" i="2"/>
  <c r="AG7" i="2"/>
  <c r="AG20" i="2" s="1"/>
  <c r="AG17" i="2"/>
  <c r="AE22" i="2"/>
  <c r="AE11" i="2"/>
  <c r="AE12" i="2" s="1"/>
  <c r="AE23" i="2" s="1"/>
  <c r="AD12" i="2"/>
  <c r="AD23" i="2" s="1"/>
  <c r="AD13" i="2" l="1"/>
  <c r="AD24" i="2" s="1"/>
  <c r="AC24" i="2"/>
  <c r="AF22" i="2"/>
  <c r="AF11" i="2"/>
  <c r="AG9" i="2"/>
  <c r="AE13" i="2"/>
  <c r="AE15" i="2" s="1"/>
  <c r="AD15" i="2" l="1"/>
  <c r="AE24" i="2"/>
  <c r="AG22" i="2"/>
  <c r="AG11" i="2"/>
  <c r="AF12" i="2"/>
  <c r="AF23" i="2" s="1"/>
  <c r="AF13" i="2" l="1"/>
  <c r="AF15" i="2" s="1"/>
  <c r="AG12" i="2"/>
  <c r="AG23" i="2" s="1"/>
  <c r="W4" i="2"/>
  <c r="AB4" i="2" s="1"/>
  <c r="AB18" i="2" s="1"/>
  <c r="W18" i="2"/>
  <c r="AF24" i="2" l="1"/>
  <c r="AG13" i="2"/>
  <c r="AC4" i="2"/>
  <c r="AC18" i="2" s="1"/>
  <c r="AA4" i="2"/>
  <c r="AD4" i="2"/>
  <c r="AD18" i="2" s="1"/>
  <c r="AH13" i="2" l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DO13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EF13" i="2" s="1"/>
  <c r="EG13" i="2" s="1"/>
  <c r="EH13" i="2" s="1"/>
  <c r="EI13" i="2" s="1"/>
  <c r="EJ13" i="2" s="1"/>
  <c r="EK13" i="2" s="1"/>
  <c r="EL13" i="2" s="1"/>
  <c r="EM13" i="2" s="1"/>
  <c r="AJ20" i="2" s="1"/>
  <c r="AJ22" i="2" s="1"/>
  <c r="AJ23" i="2" s="1"/>
  <c r="AJ25" i="2" s="1"/>
  <c r="AG24" i="2"/>
  <c r="AG15" i="2"/>
  <c r="AE4" i="2"/>
  <c r="AE18" i="2" s="1"/>
  <c r="AA18" i="2"/>
  <c r="AF4" i="2"/>
  <c r="AF18" i="2" s="1"/>
  <c r="AG4" i="2"/>
  <c r="AG18" i="2" s="1"/>
</calcChain>
</file>

<file path=xl/sharedStrings.xml><?xml version="1.0" encoding="utf-8"?>
<sst xmlns="http://schemas.openxmlformats.org/spreadsheetml/2006/main" count="71" uniqueCount="68">
  <si>
    <t>Price</t>
  </si>
  <si>
    <t>Shares</t>
  </si>
  <si>
    <t>MC</t>
  </si>
  <si>
    <t>Cash</t>
  </si>
  <si>
    <t>Debt</t>
  </si>
  <si>
    <t>Net Cash</t>
  </si>
  <si>
    <t>EV</t>
  </si>
  <si>
    <t>Last checked</t>
  </si>
  <si>
    <t>Today</t>
  </si>
  <si>
    <t>Earnings</t>
  </si>
  <si>
    <t>Revenue</t>
  </si>
  <si>
    <t>Cost of sales</t>
  </si>
  <si>
    <t>Gross profit</t>
  </si>
  <si>
    <t>R&amp;D</t>
  </si>
  <si>
    <t>S&amp;M</t>
  </si>
  <si>
    <t>G&amp;A</t>
  </si>
  <si>
    <t>Operating profit</t>
  </si>
  <si>
    <t>Other income</t>
  </si>
  <si>
    <t>Pretax profit</t>
  </si>
  <si>
    <t>Taxes</t>
  </si>
  <si>
    <t>Net profit</t>
  </si>
  <si>
    <t>EPS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</si>
  <si>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</si>
  <si>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</si>
  <si>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</si>
  <si>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</si>
  <si>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</si>
  <si>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</si>
  <si>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</si>
  <si>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</si>
  <si>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</si>
  <si>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</si>
  <si>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</si>
  <si>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</si>
  <si>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 y/y</t>
  </si>
  <si>
    <t>Gross Margin</t>
  </si>
  <si>
    <t>R&amp;D y/y</t>
  </si>
  <si>
    <t>S&amp;M Margin</t>
  </si>
  <si>
    <t>G&amp;A y/y</t>
  </si>
  <si>
    <t>Operating Margin</t>
  </si>
  <si>
    <t>Net Margin</t>
  </si>
  <si>
    <t>Maturity</t>
  </si>
  <si>
    <t>Discount rate</t>
  </si>
  <si>
    <t>Net cash</t>
  </si>
  <si>
    <t>Value</t>
  </si>
  <si>
    <t>Per share</t>
  </si>
  <si>
    <t>Current price</t>
  </si>
  <si>
    <t>Variance</t>
  </si>
  <si>
    <t>Consensus</t>
  </si>
  <si>
    <t>Net income</t>
  </si>
  <si>
    <t>D&amp;A</t>
  </si>
  <si>
    <t>Leases</t>
  </si>
  <si>
    <t>Amortisation</t>
  </si>
  <si>
    <t>SBC</t>
  </si>
  <si>
    <t>Other</t>
  </si>
  <si>
    <t>A/R</t>
  </si>
  <si>
    <t>Prepaids</t>
  </si>
  <si>
    <t>A/P</t>
  </si>
  <si>
    <t>A/L</t>
  </si>
  <si>
    <t>CFFO</t>
  </si>
  <si>
    <t>PP&amp;E</t>
  </si>
  <si>
    <t>FCF</t>
  </si>
  <si>
    <t>Q125</t>
  </si>
  <si>
    <t>Q225</t>
  </si>
  <si>
    <t>Q325</t>
  </si>
  <si>
    <t>Q425</t>
  </si>
  <si>
    <t>NPV</t>
  </si>
  <si>
    <t>Overvalued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</si>
</sst>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right"/>
    </xf>
    <xf numFmtId="14" fontId="2" fillId="0" borderId="0" xfId="0" applyNumberFormat="1" applyFont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9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38100</xdr:colOff>
      <xdr:row>0</xdr:row>
      <xdr:rowOff>7620</xdr:rowOff>
    </xdr:from>
    <xdr:to>
      <xdr:col>22</xdr:col>
      <xdr:colOff>38100</xdr:colOff>
      <xdr:row>54</xdr:row>
      <xdr:rowOff>129540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7642575-C6C5-0AAA-F505-DDE1C0B2A085}"/>
            </a:ext>
          </a:extLst>
        </xdr:cNvPr>
        <xdr:cNvCxnSpPr/>
      </xdr:nvCxnSpPr>
      <xdr:spPr>
        <a:xfrm>
          <a:off x="13914120" y="7620"/>
          <a:ext cx="0" cy="99974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0</xdr:row>
      <xdr:rowOff>7620</xdr:rowOff>
    </xdr:from>
    <xdr:to>
      <xdr:col>14</xdr:col>
      <xdr:colOff>22860</xdr:colOff>
      <xdr:row>26</xdr:row>
      <xdr:rowOff>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A6B8064-E861-B27A-7692-3721317875FB}"/>
            </a:ext>
          </a:extLst>
        </xdr:cNvPr>
        <xdr:cNvCxnSpPr/>
      </xdr:nvCxnSpPr>
      <xdr:spPr>
        <a:xfrm>
          <a:off x="9022080" y="7620"/>
          <a:ext cx="0" cy="9288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7410B-C7AE-439B-A755-B1C831AD05EB}">
  <dimension ref="C2:H9"/>
  <sheetViews>
    <sheetView workbookViewId="0">
      <selection activeCell="D4" sqref="D4"/>
    </sheetView>
  </sheetViews>
  <sheetFormatPr defaultRowHeight="14.4" x14ac:dyDescent="0.3"/>
  <cols>
    <col min="6" max="8" width="12.6640625" customWidth="1"/>
  </cols>
  <sheetData>
    <row r="2" spans="3:8" x14ac:dyDescent="0.3">
      <c r="F2" s="3" t="s">
        <v>7</v>
      </c>
      <c r="G2" s="3" t="s">
        <v>8</v>
      </c>
      <c r="H2" s="3" t="s">
        <v>9</v>
      </c>
    </row>
    <row r="3" spans="3:8" x14ac:dyDescent="0.3">
      <c r="C3" t="s">
        <v>0</v>
      </c>
      <c r="D3" s="1">
        <v>96.02</v>
      </c>
      <c r="F3" s="4">
        <v>45751</v>
      </c>
      <c r="G3" s="4">
        <f ca="1">TODAY()</f>
        <v>45751</v>
      </c>
      <c r="H3" s="4">
        <v>45790</v>
      </c>
    </row>
    <row r="4" spans="3:8" x14ac:dyDescent="0.3">
      <c r="C4" t="s">
        <v>1</v>
      </c>
      <c r="D4" s="2">
        <f>125.5+55.4</f>
        <v>180.9</v>
      </c>
    </row>
    <row r="5" spans="3:8" x14ac:dyDescent="0.3">
      <c r="C5" t="s">
        <v>2</v>
      </c>
      <c r="D5" s="2">
        <f>D3*D4</f>
        <v>17370.018</v>
      </c>
    </row>
    <row r="6" spans="3:8" x14ac:dyDescent="0.3">
      <c r="C6" t="s">
        <v>3</v>
      </c>
      <c r="D6" s="2">
        <f>968.5+701.8</f>
        <v>1670.3</v>
      </c>
    </row>
    <row r="7" spans="3:8" x14ac:dyDescent="0.3">
      <c r="C7" t="s">
        <v>4</v>
      </c>
      <c r="D7" s="2">
        <v>0</v>
      </c>
    </row>
    <row r="8" spans="3:8" x14ac:dyDescent="0.3">
      <c r="C8" t="s">
        <v>5</v>
      </c>
      <c r="D8" s="2">
        <f>D6-D7</f>
        <v>1670.3</v>
      </c>
    </row>
    <row r="9" spans="3:8" x14ac:dyDescent="0.3">
      <c r="C9" t="s">
        <v>6</v>
      </c>
      <c r="D9" s="2">
        <f>D5-D8</f>
        <v>15699.718000000001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7A926-C368-443C-82AB-009CB4B745BA}">
  <dimension ref="A2:EN48"/>
  <sheetViews>
    <sheetView tabSelected="1" workbookViewId="0">
      <pane xSplit="2" ySplit="2" topLeftCell="U13" activePane="bottomRight" state="frozen"/>
      <selection pane="topRight" activeCell="C1" sqref="C1"/>
      <selection pane="bottomLeft" activeCell="A3" sqref="A3"/>
      <selection pane="bottomRight" activeCell="AJ13" sqref="AJ13"/>
    </sheetView>
  </sheetViews>
  <sheetFormatPr defaultRowHeight="14.4" x14ac:dyDescent="0.3"/>
  <cols>
    <col min="2" max="2" width="15.6640625" customWidth="1"/>
    <col min="35" max="35" width="14.88671875" customWidth="1"/>
    <col min="36" max="36" width="16.44140625" bestFit="1" customWidth="1"/>
  </cols>
  <sheetData>
    <row r="2" spans="1:143" x14ac:dyDescent="0.3"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62</v>
      </c>
      <c r="P2" s="5" t="s">
        <v>63</v>
      </c>
      <c r="Q2" s="5" t="s">
        <v>64</v>
      </c>
      <c r="R2" s="5" t="s">
        <v>65</v>
      </c>
      <c r="T2">
        <v>2022</v>
      </c>
      <c r="U2">
        <v>2023</v>
      </c>
      <c r="V2">
        <v>2024</v>
      </c>
      <c r="W2">
        <v>2025</v>
      </c>
      <c r="X2">
        <v>2026</v>
      </c>
      <c r="Y2">
        <v>2027</v>
      </c>
      <c r="Z2">
        <v>2028</v>
      </c>
      <c r="AA2">
        <v>2029</v>
      </c>
      <c r="AB2">
        <v>2030</v>
      </c>
      <c r="AC2">
        <v>2031</v>
      </c>
      <c r="AD2">
        <v>2032</v>
      </c>
      <c r="AE2">
        <v>2033</v>
      </c>
      <c r="AF2">
        <v>2034</v>
      </c>
      <c r="AG2">
        <v>2035</v>
      </c>
    </row>
    <row r="3" spans="1:143" s="7" customFormat="1" x14ac:dyDescent="0.3">
      <c r="A3"/>
      <c r="B3" s="7" t="s">
        <v>10</v>
      </c>
      <c r="G3" s="8">
        <v>163.69999999999999</v>
      </c>
      <c r="H3" s="8">
        <v>183</v>
      </c>
      <c r="I3" s="8">
        <v>207.5</v>
      </c>
      <c r="J3" s="8">
        <v>249.8</v>
      </c>
      <c r="K3" s="8">
        <v>243</v>
      </c>
      <c r="L3" s="8">
        <v>281.2</v>
      </c>
      <c r="M3" s="8">
        <v>348.4</v>
      </c>
      <c r="N3" s="8">
        <v>427.7</v>
      </c>
      <c r="O3" s="8">
        <f>K3*1.5</f>
        <v>364.5</v>
      </c>
      <c r="P3" s="8">
        <f>L3*1.35</f>
        <v>379.62</v>
      </c>
      <c r="Q3" s="8">
        <f>M3*1.25</f>
        <v>435.5</v>
      </c>
      <c r="R3" s="8">
        <f>N3*1.2</f>
        <v>513.24</v>
      </c>
      <c r="T3" s="8">
        <v>666.7</v>
      </c>
      <c r="U3" s="8">
        <v>804</v>
      </c>
      <c r="V3" s="8">
        <f>SUM(K3:N3)</f>
        <v>1300.3</v>
      </c>
      <c r="W3" s="8">
        <f>V3*1.2</f>
        <v>1560.36</v>
      </c>
      <c r="X3" s="8">
        <f>W3*1.15</f>
        <v>1794.4139999999998</v>
      </c>
      <c r="Y3" s="8">
        <f>X3*1.13</f>
        <v>2027.6878199999996</v>
      </c>
      <c r="Z3" s="8">
        <f>Y3*1.11</f>
        <v>2250.7334802</v>
      </c>
      <c r="AA3" s="8">
        <f>Z3*1.07</f>
        <v>2408.284823814</v>
      </c>
      <c r="AB3" s="8">
        <f>AA3*1.05</f>
        <v>2528.6990650047001</v>
      </c>
      <c r="AC3" s="8">
        <f>AB3*1.04</f>
        <v>2629.8470276048884</v>
      </c>
      <c r="AD3" s="8">
        <f>AC3*1.03</f>
        <v>2708.7424384330352</v>
      </c>
      <c r="AE3" s="8">
        <f t="shared" ref="AE3:AG3" si="0">AD3*1.03</f>
        <v>2790.0047115860261</v>
      </c>
      <c r="AF3" s="8">
        <f t="shared" si="0"/>
        <v>2873.7048529336071</v>
      </c>
      <c r="AG3" s="8">
        <f t="shared" si="0"/>
        <v>2959.9159985216152</v>
      </c>
    </row>
    <row r="4" spans="1:143" x14ac:dyDescent="0.3">
      <c r="B4" t="s">
        <v>11</v>
      </c>
      <c r="G4" s="2">
        <v>26.9</v>
      </c>
      <c r="H4" s="2">
        <v>28.8</v>
      </c>
      <c r="I4" s="2">
        <v>26.4</v>
      </c>
      <c r="J4" s="2">
        <v>28.9</v>
      </c>
      <c r="K4" s="2">
        <v>27.6</v>
      </c>
      <c r="L4" s="2">
        <v>29.5</v>
      </c>
      <c r="M4" s="2">
        <v>34.6</v>
      </c>
      <c r="N4" s="2">
        <v>31.8</v>
      </c>
      <c r="O4" s="2">
        <f>O3-O5</f>
        <v>36.449999999999989</v>
      </c>
      <c r="P4" s="2">
        <f t="shared" ref="P4:R4" si="1">P3-P5</f>
        <v>37.961999999999989</v>
      </c>
      <c r="Q4" s="2">
        <f t="shared" si="1"/>
        <v>43.550000000000011</v>
      </c>
      <c r="R4" s="2">
        <f t="shared" si="1"/>
        <v>51.324000000000012</v>
      </c>
      <c r="T4" s="2">
        <v>104.8</v>
      </c>
      <c r="U4" s="2">
        <v>111</v>
      </c>
      <c r="V4" s="2">
        <f>SUM(K4:N4)</f>
        <v>123.5</v>
      </c>
      <c r="W4" s="2">
        <f>W3-W5</f>
        <v>156.03600000000006</v>
      </c>
      <c r="X4" s="2">
        <f>SUM(M4:T4)</f>
        <v>340.48599999999999</v>
      </c>
      <c r="Y4" s="2">
        <f>SUM(N4:U4)</f>
        <v>416.88600000000002</v>
      </c>
      <c r="Z4" s="2">
        <f t="shared" ref="Z4:AG4" si="2">SUM(S4:V4)</f>
        <v>339.3</v>
      </c>
      <c r="AA4" s="2">
        <f t="shared" si="2"/>
        <v>495.33600000000007</v>
      </c>
      <c r="AB4" s="2">
        <f t="shared" si="2"/>
        <v>731.02200000000005</v>
      </c>
      <c r="AC4" s="2">
        <f t="shared" si="2"/>
        <v>1036.9080000000001</v>
      </c>
      <c r="AD4" s="2">
        <f t="shared" si="2"/>
        <v>1252.7080000000001</v>
      </c>
      <c r="AE4" s="2">
        <f t="shared" si="2"/>
        <v>1592.008</v>
      </c>
      <c r="AF4" s="2">
        <f t="shared" si="2"/>
        <v>1982.5440000000003</v>
      </c>
      <c r="AG4" s="2">
        <f t="shared" si="2"/>
        <v>2602.5660000000003</v>
      </c>
    </row>
    <row r="5" spans="1:143" s="7" customFormat="1" x14ac:dyDescent="0.3">
      <c r="A5"/>
      <c r="B5" s="7" t="s">
        <v>12</v>
      </c>
      <c r="G5" s="8">
        <f t="shared" ref="G5:N5" si="3">G3-G4</f>
        <v>136.79999999999998</v>
      </c>
      <c r="H5" s="8">
        <f t="shared" si="3"/>
        <v>154.19999999999999</v>
      </c>
      <c r="I5" s="8">
        <f t="shared" si="3"/>
        <v>181.1</v>
      </c>
      <c r="J5" s="8">
        <f t="shared" si="3"/>
        <v>220.9</v>
      </c>
      <c r="K5" s="8">
        <f t="shared" si="3"/>
        <v>215.4</v>
      </c>
      <c r="L5" s="8">
        <f t="shared" si="3"/>
        <v>251.7</v>
      </c>
      <c r="M5" s="8">
        <f t="shared" si="3"/>
        <v>313.79999999999995</v>
      </c>
      <c r="N5" s="8">
        <f t="shared" si="3"/>
        <v>395.9</v>
      </c>
      <c r="O5" s="8">
        <f>O3*0.9</f>
        <v>328.05</v>
      </c>
      <c r="P5" s="8">
        <f t="shared" ref="P5:R5" si="4">P3*0.9</f>
        <v>341.65800000000002</v>
      </c>
      <c r="Q5" s="8">
        <f t="shared" si="4"/>
        <v>391.95</v>
      </c>
      <c r="R5" s="8">
        <f t="shared" si="4"/>
        <v>461.916</v>
      </c>
      <c r="T5" s="8">
        <f>T3-T4</f>
        <v>561.90000000000009</v>
      </c>
      <c r="U5" s="8">
        <f>U3-U4</f>
        <v>693</v>
      </c>
      <c r="V5" s="8">
        <f>V3-V4</f>
        <v>1176.8</v>
      </c>
      <c r="W5" s="8">
        <f>W3*0.9</f>
        <v>1404.3239999999998</v>
      </c>
      <c r="X5" s="8">
        <f t="shared" ref="X5:AG5" si="5">X3*0.9</f>
        <v>1614.9725999999998</v>
      </c>
      <c r="Y5" s="8">
        <f t="shared" si="5"/>
        <v>1824.9190379999998</v>
      </c>
      <c r="Z5" s="8">
        <f t="shared" si="5"/>
        <v>2025.6601321800001</v>
      </c>
      <c r="AA5" s="8">
        <f t="shared" si="5"/>
        <v>2167.4563414325999</v>
      </c>
      <c r="AB5" s="8">
        <f t="shared" si="5"/>
        <v>2275.8291585042302</v>
      </c>
      <c r="AC5" s="8">
        <f t="shared" si="5"/>
        <v>2366.8623248443996</v>
      </c>
      <c r="AD5" s="8">
        <f t="shared" si="5"/>
        <v>2437.868194589732</v>
      </c>
      <c r="AE5" s="8">
        <f t="shared" si="5"/>
        <v>2511.0042404274236</v>
      </c>
      <c r="AF5" s="8">
        <f t="shared" si="5"/>
        <v>2586.3343676402465</v>
      </c>
      <c r="AG5" s="8">
        <f t="shared" si="5"/>
        <v>2663.9243986694537</v>
      </c>
    </row>
    <row r="6" spans="1:143" x14ac:dyDescent="0.3">
      <c r="B6" t="s">
        <v>13</v>
      </c>
      <c r="G6" s="2">
        <v>108.8</v>
      </c>
      <c r="H6" s="2">
        <v>109.7</v>
      </c>
      <c r="I6" s="2">
        <v>108.3</v>
      </c>
      <c r="J6" s="2">
        <v>111.6</v>
      </c>
      <c r="K6" s="2">
        <v>437</v>
      </c>
      <c r="L6" s="2">
        <v>142.80000000000001</v>
      </c>
      <c r="M6" s="2">
        <v>166.7</v>
      </c>
      <c r="N6" s="2">
        <v>188.6</v>
      </c>
      <c r="O6" s="2">
        <v>160</v>
      </c>
      <c r="P6" s="2">
        <f>L6*1.3</f>
        <v>185.64000000000001</v>
      </c>
      <c r="Q6" s="2">
        <f>M6*1.2</f>
        <v>200.04</v>
      </c>
      <c r="R6" s="2">
        <f>N6*1.2</f>
        <v>226.32</v>
      </c>
      <c r="T6" s="2">
        <v>365.2</v>
      </c>
      <c r="U6" s="2">
        <v>438.3</v>
      </c>
      <c r="V6" s="2">
        <f>SUM(K6:N6)</f>
        <v>935.1</v>
      </c>
      <c r="W6" s="2">
        <v>500</v>
      </c>
      <c r="X6" s="2">
        <f t="shared" ref="X6:Y6" si="6">W6*1.05</f>
        <v>525</v>
      </c>
      <c r="Y6" s="2">
        <f t="shared" si="6"/>
        <v>551.25</v>
      </c>
      <c r="Z6" s="2">
        <f>Y6*1.04</f>
        <v>573.30000000000007</v>
      </c>
      <c r="AA6" s="2">
        <f>Z6*1.03</f>
        <v>590.49900000000014</v>
      </c>
      <c r="AB6" s="2">
        <f t="shared" ref="AB6:AG6" si="7">AA6*1.03</f>
        <v>608.21397000000013</v>
      </c>
      <c r="AC6" s="2">
        <f t="shared" si="7"/>
        <v>626.46038910000016</v>
      </c>
      <c r="AD6" s="2">
        <f t="shared" si="7"/>
        <v>645.25420077300021</v>
      </c>
      <c r="AE6" s="2">
        <f t="shared" si="7"/>
        <v>664.61182679619026</v>
      </c>
      <c r="AF6" s="2">
        <f t="shared" si="7"/>
        <v>684.55018160007603</v>
      </c>
      <c r="AG6" s="2">
        <f t="shared" si="7"/>
        <v>705.08668704807837</v>
      </c>
    </row>
    <row r="7" spans="1:143" x14ac:dyDescent="0.3">
      <c r="B7" t="s">
        <v>14</v>
      </c>
      <c r="G7" s="2">
        <v>57.9</v>
      </c>
      <c r="H7" s="2">
        <v>59.2</v>
      </c>
      <c r="I7" s="2">
        <v>55.1</v>
      </c>
      <c r="J7" s="2">
        <v>57.9</v>
      </c>
      <c r="K7" s="2">
        <v>124.1</v>
      </c>
      <c r="L7" s="2">
        <v>71.5</v>
      </c>
      <c r="M7" s="2">
        <v>74.5</v>
      </c>
      <c r="N7" s="2">
        <v>80.5</v>
      </c>
      <c r="O7" s="2">
        <f>O3*0.23</f>
        <v>83.835000000000008</v>
      </c>
      <c r="P7" s="2">
        <f>P3*0.23</f>
        <v>87.312600000000003</v>
      </c>
      <c r="Q7" s="2">
        <f>Q3*0.21</f>
        <v>91.454999999999998</v>
      </c>
      <c r="R7" s="2">
        <f>R3*0.19</f>
        <v>97.515600000000006</v>
      </c>
      <c r="T7" s="2">
        <v>225.1</v>
      </c>
      <c r="U7" s="2">
        <v>230.2</v>
      </c>
      <c r="V7" s="2">
        <f>SUM(K7:N7)</f>
        <v>350.6</v>
      </c>
      <c r="W7" s="2">
        <f>W3*0.3</f>
        <v>468.10799999999995</v>
      </c>
      <c r="X7" s="2">
        <f>X3*0.25</f>
        <v>448.60349999999994</v>
      </c>
      <c r="Y7" s="2">
        <f t="shared" ref="Y7:AG7" si="8">Y3*0.25</f>
        <v>506.92195499999991</v>
      </c>
      <c r="Z7" s="2">
        <f t="shared" si="8"/>
        <v>562.68337005000001</v>
      </c>
      <c r="AA7" s="2">
        <f t="shared" si="8"/>
        <v>602.0712059535</v>
      </c>
      <c r="AB7" s="2">
        <f t="shared" si="8"/>
        <v>632.17476625117501</v>
      </c>
      <c r="AC7" s="2">
        <f t="shared" si="8"/>
        <v>657.46175690122209</v>
      </c>
      <c r="AD7" s="2">
        <f t="shared" si="8"/>
        <v>677.1856096082588</v>
      </c>
      <c r="AE7" s="2">
        <f t="shared" si="8"/>
        <v>697.50117789650653</v>
      </c>
      <c r="AF7" s="2">
        <f t="shared" si="8"/>
        <v>718.42621323340177</v>
      </c>
      <c r="AG7" s="2">
        <f t="shared" si="8"/>
        <v>739.97899963040379</v>
      </c>
    </row>
    <row r="8" spans="1:143" x14ac:dyDescent="0.3">
      <c r="B8" t="s">
        <v>15</v>
      </c>
      <c r="G8" s="2">
        <v>40.799999999999997</v>
      </c>
      <c r="H8" s="2">
        <v>38.200000000000003</v>
      </c>
      <c r="I8" s="2">
        <v>37.299999999999997</v>
      </c>
      <c r="J8" s="2">
        <v>48.3</v>
      </c>
      <c r="K8" s="2">
        <v>243.5</v>
      </c>
      <c r="L8" s="2">
        <v>68.5</v>
      </c>
      <c r="M8" s="2">
        <v>65.7</v>
      </c>
      <c r="N8" s="2">
        <v>73.8</v>
      </c>
      <c r="O8" s="2">
        <v>75</v>
      </c>
      <c r="P8" s="2">
        <f>L8*1.2</f>
        <v>82.2</v>
      </c>
      <c r="Q8" s="2">
        <f t="shared" ref="Q8" si="9">M8*1.3</f>
        <v>85.410000000000011</v>
      </c>
      <c r="R8" s="2">
        <f>N8*1.25</f>
        <v>92.25</v>
      </c>
      <c r="T8" s="2">
        <v>143.80000000000001</v>
      </c>
      <c r="U8" s="2">
        <v>164.7</v>
      </c>
      <c r="V8" s="2">
        <f>SUM(K8:N8)</f>
        <v>451.5</v>
      </c>
      <c r="W8" s="2">
        <v>250</v>
      </c>
      <c r="X8" s="2">
        <f>W8*1.03</f>
        <v>257.5</v>
      </c>
      <c r="Y8" s="2">
        <f>X8*1.03</f>
        <v>265.22500000000002</v>
      </c>
      <c r="Z8" s="2">
        <f>Y8*1.03</f>
        <v>273.18175000000002</v>
      </c>
      <c r="AA8" s="2">
        <f>Z8*1.02</f>
        <v>278.64538500000003</v>
      </c>
      <c r="AB8" s="2">
        <f>AA8*1.02</f>
        <v>284.21829270000006</v>
      </c>
      <c r="AC8" s="2">
        <f t="shared" ref="AC8:AG8" si="10">AB8*1.02</f>
        <v>289.90265855400008</v>
      </c>
      <c r="AD8" s="2">
        <f t="shared" si="10"/>
        <v>295.70071172508011</v>
      </c>
      <c r="AE8" s="2">
        <f t="shared" si="10"/>
        <v>301.61472595958173</v>
      </c>
      <c r="AF8" s="2">
        <f t="shared" si="10"/>
        <v>307.64702047877336</v>
      </c>
      <c r="AG8" s="2">
        <f t="shared" si="10"/>
        <v>313.79996088834883</v>
      </c>
    </row>
    <row r="9" spans="1:143" s="7" customFormat="1" x14ac:dyDescent="0.3">
      <c r="A9"/>
      <c r="B9" s="7" t="s">
        <v>16</v>
      </c>
      <c r="G9" s="8">
        <f>G5-SUM(G6:G8)</f>
        <v>-70.700000000000017</v>
      </c>
      <c r="H9" s="8">
        <f t="shared" ref="H9" si="11">H5-SUM(H6:H8)</f>
        <v>-52.900000000000034</v>
      </c>
      <c r="I9" s="8">
        <f t="shared" ref="I9" si="12">I5-SUM(I6:I8)</f>
        <v>-19.599999999999994</v>
      </c>
      <c r="J9" s="8">
        <f t="shared" ref="J9" si="13">J5-SUM(J6:J8)</f>
        <v>3.0999999999999943</v>
      </c>
      <c r="K9" s="8">
        <f>K5-SUM(K6:K8)</f>
        <v>-589.20000000000005</v>
      </c>
      <c r="L9" s="8">
        <f t="shared" ref="L9:R9" si="14">L5-SUM(L6:L8)</f>
        <v>-31.100000000000023</v>
      </c>
      <c r="M9" s="8">
        <f t="shared" si="14"/>
        <v>6.8999999999999773</v>
      </c>
      <c r="N9" s="8">
        <f t="shared" si="14"/>
        <v>52.999999999999943</v>
      </c>
      <c r="O9" s="8">
        <f t="shared" si="14"/>
        <v>9.214999999999975</v>
      </c>
      <c r="P9" s="8">
        <f t="shared" si="14"/>
        <v>-13.494599999999991</v>
      </c>
      <c r="Q9" s="8">
        <f t="shared" si="14"/>
        <v>15.044999999999959</v>
      </c>
      <c r="R9" s="8">
        <f t="shared" si="14"/>
        <v>45.830399999999997</v>
      </c>
      <c r="T9" s="8">
        <f>T5-SUM(T6:T8)</f>
        <v>-172.19999999999982</v>
      </c>
      <c r="U9" s="8">
        <f>U5-SUM(U6:U8)</f>
        <v>-140.20000000000005</v>
      </c>
      <c r="V9" s="8">
        <f>V5-SUM(V6:V8)</f>
        <v>-560.40000000000009</v>
      </c>
      <c r="W9" s="8">
        <f>W5-SUM(W6:W8)</f>
        <v>186.21599999999989</v>
      </c>
      <c r="X9" s="8">
        <f t="shared" ref="X9:AG9" si="15">X5-SUM(X6:X8)</f>
        <v>383.86909999999989</v>
      </c>
      <c r="Y9" s="8">
        <f t="shared" si="15"/>
        <v>501.52208300000007</v>
      </c>
      <c r="Z9" s="8">
        <f t="shared" si="15"/>
        <v>616.49501213000008</v>
      </c>
      <c r="AA9" s="8">
        <f t="shared" si="15"/>
        <v>696.24075047909969</v>
      </c>
      <c r="AB9" s="8">
        <f t="shared" si="15"/>
        <v>751.22212955305508</v>
      </c>
      <c r="AC9" s="8">
        <f t="shared" si="15"/>
        <v>793.03752028917734</v>
      </c>
      <c r="AD9" s="8">
        <f t="shared" si="15"/>
        <v>819.72767248339278</v>
      </c>
      <c r="AE9" s="8">
        <f t="shared" si="15"/>
        <v>847.27650977514486</v>
      </c>
      <c r="AF9" s="8">
        <f t="shared" si="15"/>
        <v>875.7109523279953</v>
      </c>
      <c r="AG9" s="8">
        <f t="shared" si="15"/>
        <v>905.05875110262286</v>
      </c>
    </row>
    <row r="10" spans="1:143" x14ac:dyDescent="0.3">
      <c r="B10" t="s">
        <v>17</v>
      </c>
      <c r="G10" s="2">
        <v>-10.7</v>
      </c>
      <c r="H10" s="2">
        <v>-13.3</v>
      </c>
      <c r="I10" s="2">
        <v>-12.6</v>
      </c>
      <c r="J10" s="2">
        <v>-16.5</v>
      </c>
      <c r="K10" s="2">
        <v>-14.6</v>
      </c>
      <c r="L10" s="2">
        <v>-20.7</v>
      </c>
      <c r="M10" s="2">
        <v>-23</v>
      </c>
      <c r="N10" s="2">
        <v>-17.100000000000001</v>
      </c>
      <c r="O10" s="2">
        <f>K10*1.03</f>
        <v>-15.038</v>
      </c>
      <c r="P10" s="2">
        <f t="shared" ref="P10:R10" si="16">L10*1.03</f>
        <v>-21.321000000000002</v>
      </c>
      <c r="Q10" s="2">
        <f t="shared" si="16"/>
        <v>-23.69</v>
      </c>
      <c r="R10" s="2">
        <f t="shared" si="16"/>
        <v>-17.613000000000003</v>
      </c>
      <c r="T10" s="2">
        <v>-14.2</v>
      </c>
      <c r="U10" s="2">
        <v>-53.1</v>
      </c>
      <c r="V10" s="2">
        <f>SUM(K10:N10)</f>
        <v>-75.400000000000006</v>
      </c>
      <c r="W10" s="2">
        <f>V10*1.03</f>
        <v>-77.662000000000006</v>
      </c>
      <c r="X10" s="2">
        <f t="shared" ref="X10:AG10" si="17">W10*1.03</f>
        <v>-79.991860000000003</v>
      </c>
      <c r="Y10" s="2">
        <f t="shared" si="17"/>
        <v>-82.391615800000011</v>
      </c>
      <c r="Z10" s="2">
        <f t="shared" si="17"/>
        <v>-84.86336427400002</v>
      </c>
      <c r="AA10" s="2">
        <f t="shared" si="17"/>
        <v>-87.409265202220027</v>
      </c>
      <c r="AB10" s="2">
        <f t="shared" si="17"/>
        <v>-90.031543158286624</v>
      </c>
      <c r="AC10" s="2">
        <f t="shared" si="17"/>
        <v>-92.732489453035228</v>
      </c>
      <c r="AD10" s="2">
        <f t="shared" si="17"/>
        <v>-95.514464136626287</v>
      </c>
      <c r="AE10" s="2">
        <f t="shared" si="17"/>
        <v>-98.379898060725083</v>
      </c>
      <c r="AF10" s="2">
        <f t="shared" si="17"/>
        <v>-101.33129500254684</v>
      </c>
      <c r="AG10" s="2">
        <f t="shared" si="17"/>
        <v>-104.37123385262325</v>
      </c>
    </row>
    <row r="11" spans="1:143" s="7" customFormat="1" x14ac:dyDescent="0.3">
      <c r="A11"/>
      <c r="B11" s="7" t="s">
        <v>18</v>
      </c>
      <c r="G11" s="8">
        <f>G9-G10</f>
        <v>-60.000000000000014</v>
      </c>
      <c r="H11" s="8">
        <f t="shared" ref="H11" si="18">H9-H10</f>
        <v>-39.600000000000037</v>
      </c>
      <c r="I11" s="8">
        <f t="shared" ref="I11" si="19">I9-I10</f>
        <v>-6.9999999999999947</v>
      </c>
      <c r="J11" s="8">
        <f t="shared" ref="J11" si="20">J9-J10</f>
        <v>19.599999999999994</v>
      </c>
      <c r="K11" s="8">
        <f>K9-K10</f>
        <v>-574.6</v>
      </c>
      <c r="L11" s="8">
        <f t="shared" ref="L11:R11" si="21">L9-L10</f>
        <v>-10.400000000000023</v>
      </c>
      <c r="M11" s="8">
        <f t="shared" si="21"/>
        <v>29.899999999999977</v>
      </c>
      <c r="N11" s="8">
        <f t="shared" si="21"/>
        <v>70.099999999999937</v>
      </c>
      <c r="O11" s="8">
        <f t="shared" si="21"/>
        <v>24.252999999999975</v>
      </c>
      <c r="P11" s="8">
        <f t="shared" si="21"/>
        <v>7.8264000000000102</v>
      </c>
      <c r="Q11" s="8">
        <f t="shared" si="21"/>
        <v>38.734999999999957</v>
      </c>
      <c r="R11" s="8">
        <f t="shared" si="21"/>
        <v>63.443399999999997</v>
      </c>
      <c r="T11" s="8">
        <f>T9-T10</f>
        <v>-157.99999999999983</v>
      </c>
      <c r="U11" s="8">
        <f>U9-U10</f>
        <v>-87.100000000000051</v>
      </c>
      <c r="V11" s="8">
        <f>V9-V10</f>
        <v>-485.00000000000011</v>
      </c>
      <c r="W11" s="8">
        <f>W9-W10</f>
        <v>263.87799999999993</v>
      </c>
      <c r="X11" s="8">
        <f t="shared" ref="X11:AG11" si="22">X9-X10</f>
        <v>463.86095999999986</v>
      </c>
      <c r="Y11" s="8">
        <f t="shared" si="22"/>
        <v>583.91369880000002</v>
      </c>
      <c r="Z11" s="8">
        <f t="shared" si="22"/>
        <v>701.35837640400007</v>
      </c>
      <c r="AA11" s="8">
        <f t="shared" si="22"/>
        <v>783.6500156813197</v>
      </c>
      <c r="AB11" s="8">
        <f t="shared" si="22"/>
        <v>841.25367271134166</v>
      </c>
      <c r="AC11" s="8">
        <f t="shared" si="22"/>
        <v>885.77000974221255</v>
      </c>
      <c r="AD11" s="8">
        <f t="shared" si="22"/>
        <v>915.2421366200191</v>
      </c>
      <c r="AE11" s="8">
        <f t="shared" si="22"/>
        <v>945.65640783586991</v>
      </c>
      <c r="AF11" s="8">
        <f t="shared" si="22"/>
        <v>977.04224733054218</v>
      </c>
      <c r="AG11" s="8">
        <f t="shared" si="22"/>
        <v>1009.4299849552461</v>
      </c>
    </row>
    <row r="12" spans="1:143" x14ac:dyDescent="0.3">
      <c r="B12" t="s">
        <v>19</v>
      </c>
      <c r="G12" s="2">
        <v>1</v>
      </c>
      <c r="H12" s="2">
        <v>1.4</v>
      </c>
      <c r="I12" s="2">
        <v>0.4</v>
      </c>
      <c r="J12" s="2">
        <v>0.9</v>
      </c>
      <c r="K12" s="2">
        <v>0.4</v>
      </c>
      <c r="L12" s="2">
        <v>-0.2</v>
      </c>
      <c r="M12" s="2">
        <v>0</v>
      </c>
      <c r="N12" s="2">
        <v>-1</v>
      </c>
      <c r="O12" s="2">
        <v>0</v>
      </c>
      <c r="P12" s="2">
        <v>0</v>
      </c>
      <c r="Q12" s="2">
        <v>0</v>
      </c>
      <c r="R12" s="2">
        <v>0</v>
      </c>
      <c r="T12" s="2">
        <v>0.6</v>
      </c>
      <c r="U12" s="2">
        <v>3.8</v>
      </c>
      <c r="V12" s="2">
        <f>SUM(K12:N12)</f>
        <v>-0.8</v>
      </c>
      <c r="W12" s="2">
        <f>W11*0.15</f>
        <v>39.581699999999991</v>
      </c>
      <c r="X12" s="2">
        <f t="shared" ref="X12:AG12" si="23">X11*0.15</f>
        <v>69.579143999999971</v>
      </c>
      <c r="Y12" s="2">
        <f t="shared" si="23"/>
        <v>87.587054820000006</v>
      </c>
      <c r="Z12" s="2">
        <f t="shared" si="23"/>
        <v>105.2037564606</v>
      </c>
      <c r="AA12" s="2">
        <f t="shared" si="23"/>
        <v>117.54750235219795</v>
      </c>
      <c r="AB12" s="2">
        <f t="shared" si="23"/>
        <v>126.18805090670125</v>
      </c>
      <c r="AC12" s="2">
        <f t="shared" si="23"/>
        <v>132.86550146133189</v>
      </c>
      <c r="AD12" s="2">
        <f t="shared" si="23"/>
        <v>137.28632049300285</v>
      </c>
      <c r="AE12" s="2">
        <f t="shared" si="23"/>
        <v>141.84846117538049</v>
      </c>
      <c r="AF12" s="2">
        <f t="shared" si="23"/>
        <v>146.55633709958133</v>
      </c>
      <c r="AG12" s="2">
        <f t="shared" si="23"/>
        <v>151.41449774328692</v>
      </c>
    </row>
    <row r="13" spans="1:143" s="7" customFormat="1" x14ac:dyDescent="0.3">
      <c r="A13"/>
      <c r="B13" s="7" t="s">
        <v>20</v>
      </c>
      <c r="G13" s="8">
        <f>G11-G12</f>
        <v>-61.000000000000014</v>
      </c>
      <c r="H13" s="8">
        <f t="shared" ref="H13" si="24">H11-H12</f>
        <v>-41.000000000000036</v>
      </c>
      <c r="I13" s="8">
        <f t="shared" ref="I13" si="25">I11-I12</f>
        <v>-7.399999999999995</v>
      </c>
      <c r="J13" s="8">
        <f t="shared" ref="J13" si="26">J11-J12</f>
        <v>18.699999999999996</v>
      </c>
      <c r="K13" s="8">
        <f>K11-K12</f>
        <v>-575</v>
      </c>
      <c r="L13" s="8">
        <f t="shared" ref="L13:N13" si="27">L11-L12</f>
        <v>-10.200000000000024</v>
      </c>
      <c r="M13" s="8">
        <f t="shared" si="27"/>
        <v>29.899999999999977</v>
      </c>
      <c r="N13" s="8">
        <f t="shared" si="27"/>
        <v>71.099999999999937</v>
      </c>
      <c r="O13" s="8">
        <f t="shared" ref="O13:R13" si="28">O11-O12</f>
        <v>24.252999999999975</v>
      </c>
      <c r="P13" s="8">
        <f t="shared" si="28"/>
        <v>7.8264000000000102</v>
      </c>
      <c r="Q13" s="8">
        <f t="shared" si="28"/>
        <v>38.734999999999957</v>
      </c>
      <c r="R13" s="8">
        <f t="shared" si="28"/>
        <v>63.443399999999997</v>
      </c>
      <c r="T13" s="8">
        <f>T11-T12</f>
        <v>-158.59999999999982</v>
      </c>
      <c r="U13" s="8">
        <f>U11-U12</f>
        <v>-90.900000000000048</v>
      </c>
      <c r="V13" s="8">
        <f>V11-V12</f>
        <v>-484.2000000000001</v>
      </c>
      <c r="W13" s="8">
        <f t="shared" ref="W13" si="29">W11-W12</f>
        <v>224.29629999999995</v>
      </c>
      <c r="X13" s="8">
        <f t="shared" ref="X13" si="30">X11-X12</f>
        <v>394.28181599999988</v>
      </c>
      <c r="Y13" s="8">
        <f t="shared" ref="Y13" si="31">Y11-Y12</f>
        <v>496.32664398000003</v>
      </c>
      <c r="Z13" s="8">
        <f t="shared" ref="Z13" si="32">Z11-Z12</f>
        <v>596.15461994340012</v>
      </c>
      <c r="AA13" s="8">
        <f t="shared" ref="AA13" si="33">AA11-AA12</f>
        <v>666.10251332912173</v>
      </c>
      <c r="AB13" s="8">
        <f t="shared" ref="AB13" si="34">AB11-AB12</f>
        <v>715.06562180464039</v>
      </c>
      <c r="AC13" s="8">
        <f t="shared" ref="AC13" si="35">AC11-AC12</f>
        <v>752.90450828088069</v>
      </c>
      <c r="AD13" s="8">
        <f t="shared" ref="AD13" si="36">AD11-AD12</f>
        <v>777.95581612701631</v>
      </c>
      <c r="AE13" s="8">
        <f t="shared" ref="AE13" si="37">AE11-AE12</f>
        <v>803.80794666048939</v>
      </c>
      <c r="AF13" s="8">
        <f t="shared" ref="AF13" si="38">AF11-AF12</f>
        <v>830.48591023096083</v>
      </c>
      <c r="AG13" s="8">
        <f t="shared" ref="AG13" si="39">AG11-AG12</f>
        <v>858.01548721195923</v>
      </c>
      <c r="AH13" s="7">
        <f>AG13*(1+$AJ$18)</f>
        <v>849.43533233983965</v>
      </c>
      <c r="AI13" s="7">
        <f t="shared" ref="AI13:CT13" si="40">AH13*(1+$AJ$18)</f>
        <v>840.94097901644125</v>
      </c>
      <c r="AJ13" s="7">
        <f t="shared" si="40"/>
        <v>832.53156922627682</v>
      </c>
      <c r="AK13" s="7">
        <f t="shared" si="40"/>
        <v>824.20625353401408</v>
      </c>
      <c r="AL13" s="7">
        <f t="shared" si="40"/>
        <v>815.96419099867398</v>
      </c>
      <c r="AM13" s="7">
        <f t="shared" si="40"/>
        <v>807.80454908868728</v>
      </c>
      <c r="AN13" s="7">
        <f t="shared" si="40"/>
        <v>799.72650359780039</v>
      </c>
      <c r="AO13" s="7">
        <f t="shared" si="40"/>
        <v>791.7292385618224</v>
      </c>
      <c r="AP13" s="7">
        <f t="shared" si="40"/>
        <v>783.81194617620417</v>
      </c>
      <c r="AQ13" s="7">
        <f t="shared" si="40"/>
        <v>775.97382671444211</v>
      </c>
      <c r="AR13" s="7">
        <f t="shared" si="40"/>
        <v>768.21408844729763</v>
      </c>
      <c r="AS13" s="7">
        <f t="shared" si="40"/>
        <v>760.5319475628246</v>
      </c>
      <c r="AT13" s="7">
        <f t="shared" si="40"/>
        <v>752.92662808719638</v>
      </c>
      <c r="AU13" s="7">
        <f t="shared" si="40"/>
        <v>745.3973618063244</v>
      </c>
      <c r="AV13" s="7">
        <f t="shared" si="40"/>
        <v>737.94338818826111</v>
      </c>
      <c r="AW13" s="7">
        <f t="shared" si="40"/>
        <v>730.56395430637849</v>
      </c>
      <c r="AX13" s="7">
        <f t="shared" si="40"/>
        <v>723.25831476331473</v>
      </c>
      <c r="AY13" s="7">
        <f t="shared" si="40"/>
        <v>716.02573161568159</v>
      </c>
      <c r="AZ13" s="7">
        <f t="shared" si="40"/>
        <v>708.86547429952475</v>
      </c>
      <c r="BA13" s="7">
        <f t="shared" si="40"/>
        <v>701.77681955652952</v>
      </c>
      <c r="BB13" s="7">
        <f t="shared" si="40"/>
        <v>694.75905136096424</v>
      </c>
      <c r="BC13" s="7">
        <f t="shared" si="40"/>
        <v>687.81146084735462</v>
      </c>
      <c r="BD13" s="7">
        <f t="shared" si="40"/>
        <v>680.93334623888109</v>
      </c>
      <c r="BE13" s="7">
        <f t="shared" si="40"/>
        <v>674.12401277649224</v>
      </c>
      <c r="BF13" s="7">
        <f t="shared" si="40"/>
        <v>667.38277264872727</v>
      </c>
      <c r="BG13" s="7">
        <f t="shared" si="40"/>
        <v>660.70894492223999</v>
      </c>
      <c r="BH13" s="7">
        <f t="shared" si="40"/>
        <v>654.10185547301762</v>
      </c>
      <c r="BI13" s="7">
        <f t="shared" si="40"/>
        <v>647.56083691828746</v>
      </c>
      <c r="BJ13" s="7">
        <f t="shared" si="40"/>
        <v>641.08522854910461</v>
      </c>
      <c r="BK13" s="7">
        <f t="shared" si="40"/>
        <v>634.67437626361357</v>
      </c>
      <c r="BL13" s="7">
        <f t="shared" si="40"/>
        <v>628.32763250097742</v>
      </c>
      <c r="BM13" s="7">
        <f t="shared" si="40"/>
        <v>622.04435617596766</v>
      </c>
      <c r="BN13" s="7">
        <f t="shared" si="40"/>
        <v>615.82391261420798</v>
      </c>
      <c r="BO13" s="7">
        <f t="shared" si="40"/>
        <v>609.66567348806586</v>
      </c>
      <c r="BP13" s="7">
        <f t="shared" si="40"/>
        <v>603.56901675318522</v>
      </c>
      <c r="BQ13" s="7">
        <f t="shared" si="40"/>
        <v>597.53332658565341</v>
      </c>
      <c r="BR13" s="7">
        <f t="shared" si="40"/>
        <v>591.55799331979688</v>
      </c>
      <c r="BS13" s="7">
        <f t="shared" si="40"/>
        <v>585.64241338659895</v>
      </c>
      <c r="BT13" s="7">
        <f t="shared" si="40"/>
        <v>579.78598925273297</v>
      </c>
      <c r="BU13" s="7">
        <f t="shared" si="40"/>
        <v>573.98812936020568</v>
      </c>
      <c r="BV13" s="7">
        <f t="shared" si="40"/>
        <v>568.24824806660365</v>
      </c>
      <c r="BW13" s="7">
        <f t="shared" si="40"/>
        <v>562.56576558593758</v>
      </c>
      <c r="BX13" s="7">
        <f t="shared" si="40"/>
        <v>556.94010793007817</v>
      </c>
      <c r="BY13" s="7">
        <f t="shared" si="40"/>
        <v>551.37070685077742</v>
      </c>
      <c r="BZ13" s="7">
        <f t="shared" si="40"/>
        <v>545.85699978226967</v>
      </c>
      <c r="CA13" s="7">
        <f t="shared" si="40"/>
        <v>540.39842978444699</v>
      </c>
      <c r="CB13" s="7">
        <f t="shared" si="40"/>
        <v>534.99444548660256</v>
      </c>
      <c r="CC13" s="7">
        <f t="shared" si="40"/>
        <v>529.64450103173658</v>
      </c>
      <c r="CD13" s="7">
        <f t="shared" si="40"/>
        <v>524.34805602141921</v>
      </c>
      <c r="CE13" s="7">
        <f t="shared" si="40"/>
        <v>519.10457546120506</v>
      </c>
      <c r="CF13" s="7">
        <f t="shared" si="40"/>
        <v>513.91352970659295</v>
      </c>
      <c r="CG13" s="7">
        <f t="shared" si="40"/>
        <v>508.77439440952702</v>
      </c>
      <c r="CH13" s="7">
        <f t="shared" si="40"/>
        <v>503.68665046543174</v>
      </c>
      <c r="CI13" s="7">
        <f t="shared" si="40"/>
        <v>498.64978396077743</v>
      </c>
      <c r="CJ13" s="7">
        <f t="shared" si="40"/>
        <v>493.66328612116968</v>
      </c>
      <c r="CK13" s="7">
        <f t="shared" si="40"/>
        <v>488.72665325995797</v>
      </c>
      <c r="CL13" s="7">
        <f t="shared" si="40"/>
        <v>483.83938672735837</v>
      </c>
      <c r="CM13" s="7">
        <f t="shared" si="40"/>
        <v>479.00099286008481</v>
      </c>
      <c r="CN13" s="7">
        <f t="shared" si="40"/>
        <v>474.21098293148395</v>
      </c>
      <c r="CO13" s="7">
        <f t="shared" si="40"/>
        <v>469.46887310216908</v>
      </c>
      <c r="CP13" s="7">
        <f t="shared" si="40"/>
        <v>464.77418437114738</v>
      </c>
      <c r="CQ13" s="7">
        <f t="shared" si="40"/>
        <v>460.12644252743593</v>
      </c>
      <c r="CR13" s="7">
        <f t="shared" si="40"/>
        <v>455.52517810216159</v>
      </c>
      <c r="CS13" s="7">
        <f t="shared" si="40"/>
        <v>450.96992632113995</v>
      </c>
      <c r="CT13" s="7">
        <f t="shared" si="40"/>
        <v>446.46022705792853</v>
      </c>
      <c r="CU13" s="7">
        <f t="shared" ref="CU13:EM13" si="41">CT13*(1+$AJ$18)</f>
        <v>441.99562478734924</v>
      </c>
      <c r="CV13" s="7">
        <f t="shared" si="41"/>
        <v>437.57566853947577</v>
      </c>
      <c r="CW13" s="7">
        <f t="shared" si="41"/>
        <v>433.19991185408099</v>
      </c>
      <c r="CX13" s="7">
        <f t="shared" si="41"/>
        <v>428.86791273554019</v>
      </c>
      <c r="CY13" s="7">
        <f t="shared" si="41"/>
        <v>424.57923360818478</v>
      </c>
      <c r="CZ13" s="7">
        <f t="shared" si="41"/>
        <v>420.3334412721029</v>
      </c>
      <c r="DA13" s="7">
        <f t="shared" si="41"/>
        <v>416.1301068593819</v>
      </c>
      <c r="DB13" s="7">
        <f t="shared" si="41"/>
        <v>411.96880579078805</v>
      </c>
      <c r="DC13" s="7">
        <f t="shared" si="41"/>
        <v>407.84911773288019</v>
      </c>
      <c r="DD13" s="7">
        <f t="shared" si="41"/>
        <v>403.77062655555136</v>
      </c>
      <c r="DE13" s="7">
        <f t="shared" si="41"/>
        <v>399.73292028999583</v>
      </c>
      <c r="DF13" s="7">
        <f t="shared" si="41"/>
        <v>395.73559108709588</v>
      </c>
      <c r="DG13" s="7">
        <f t="shared" si="41"/>
        <v>391.77823517622494</v>
      </c>
      <c r="DH13" s="7">
        <f t="shared" si="41"/>
        <v>387.8604528244627</v>
      </c>
      <c r="DI13" s="7">
        <f t="shared" si="41"/>
        <v>383.98184829621806</v>
      </c>
      <c r="DJ13" s="7">
        <f t="shared" si="41"/>
        <v>380.14202981325587</v>
      </c>
      <c r="DK13" s="7">
        <f t="shared" si="41"/>
        <v>376.34060951512333</v>
      </c>
      <c r="DL13" s="7">
        <f t="shared" si="41"/>
        <v>372.57720341997208</v>
      </c>
      <c r="DM13" s="7">
        <f t="shared" si="41"/>
        <v>368.85143138577234</v>
      </c>
      <c r="DN13" s="7">
        <f t="shared" si="41"/>
        <v>365.16291707191459</v>
      </c>
      <c r="DO13" s="7">
        <f t="shared" si="41"/>
        <v>361.51128790119543</v>
      </c>
      <c r="DP13" s="7">
        <f t="shared" si="41"/>
        <v>357.89617502218346</v>
      </c>
      <c r="DQ13" s="7">
        <f t="shared" si="41"/>
        <v>354.31721327196163</v>
      </c>
      <c r="DR13" s="7">
        <f t="shared" si="41"/>
        <v>350.774041139242</v>
      </c>
      <c r="DS13" s="7">
        <f t="shared" si="41"/>
        <v>347.26630072784957</v>
      </c>
      <c r="DT13" s="7">
        <f t="shared" si="41"/>
        <v>343.79363772057104</v>
      </c>
      <c r="DU13" s="7">
        <f t="shared" si="41"/>
        <v>340.35570134336535</v>
      </c>
      <c r="DV13" s="7">
        <f t="shared" si="41"/>
        <v>336.95214432993168</v>
      </c>
      <c r="DW13" s="7">
        <f t="shared" si="41"/>
        <v>333.58262288663235</v>
      </c>
      <c r="DX13" s="7">
        <f t="shared" si="41"/>
        <v>330.24679665776603</v>
      </c>
      <c r="DY13" s="7">
        <f t="shared" si="41"/>
        <v>326.94432869118839</v>
      </c>
      <c r="DZ13" s="7">
        <f t="shared" si="41"/>
        <v>323.67488540427649</v>
      </c>
      <c r="EA13" s="7">
        <f t="shared" si="41"/>
        <v>320.43813655023371</v>
      </c>
      <c r="EB13" s="7">
        <f t="shared" si="41"/>
        <v>317.23375518473136</v>
      </c>
      <c r="EC13" s="7">
        <f t="shared" si="41"/>
        <v>314.06141763288406</v>
      </c>
      <c r="ED13" s="7">
        <f t="shared" si="41"/>
        <v>310.92080345655523</v>
      </c>
      <c r="EE13" s="7">
        <f t="shared" si="41"/>
        <v>307.81159542198969</v>
      </c>
      <c r="EF13" s="7">
        <f t="shared" si="41"/>
        <v>304.73347946776977</v>
      </c>
      <c r="EG13" s="7">
        <f t="shared" si="41"/>
        <v>301.68614467309209</v>
      </c>
      <c r="EH13" s="7">
        <f t="shared" si="41"/>
        <v>298.66928322636119</v>
      </c>
      <c r="EI13" s="7">
        <f t="shared" si="41"/>
        <v>295.68259039409759</v>
      </c>
      <c r="EJ13" s="7">
        <f t="shared" si="41"/>
        <v>292.72576449015662</v>
      </c>
      <c r="EK13" s="7">
        <f t="shared" si="41"/>
        <v>289.79850684525508</v>
      </c>
      <c r="EL13" s="7">
        <f t="shared" si="41"/>
        <v>286.90052177680252</v>
      </c>
      <c r="EM13" s="7">
        <f t="shared" si="41"/>
        <v>284.03151655903451</v>
      </c>
    </row>
    <row r="14" spans="1:143" x14ac:dyDescent="0.3">
      <c r="B14" t="s">
        <v>1</v>
      </c>
      <c r="G14" s="2">
        <v>58.1</v>
      </c>
      <c r="H14" s="2">
        <v>58.5</v>
      </c>
      <c r="I14" s="2">
        <v>58.9</v>
      </c>
      <c r="J14" s="2">
        <v>61</v>
      </c>
      <c r="K14" s="2">
        <v>70.2</v>
      </c>
      <c r="L14" s="2">
        <v>164.4</v>
      </c>
      <c r="M14" s="2">
        <v>169.2</v>
      </c>
      <c r="N14" s="2">
        <f>125.5+55.4</f>
        <v>180.9</v>
      </c>
      <c r="O14" s="2">
        <f t="shared" ref="O14:R14" si="42">125.5+55.4</f>
        <v>180.9</v>
      </c>
      <c r="P14" s="2">
        <f t="shared" si="42"/>
        <v>180.9</v>
      </c>
      <c r="Q14" s="2">
        <f t="shared" si="42"/>
        <v>180.9</v>
      </c>
      <c r="R14" s="2">
        <f t="shared" si="42"/>
        <v>180.9</v>
      </c>
      <c r="T14" s="2">
        <v>164</v>
      </c>
      <c r="U14" s="2">
        <v>164</v>
      </c>
      <c r="V14" s="2">
        <v>164</v>
      </c>
      <c r="W14" s="2">
        <v>164</v>
      </c>
      <c r="X14" s="2">
        <v>164</v>
      </c>
      <c r="Y14" s="2">
        <v>164</v>
      </c>
      <c r="Z14" s="2">
        <v>164</v>
      </c>
      <c r="AA14" s="2">
        <v>164</v>
      </c>
      <c r="AB14" s="2">
        <v>164</v>
      </c>
      <c r="AC14" s="2">
        <v>164</v>
      </c>
      <c r="AD14" s="2">
        <v>164</v>
      </c>
      <c r="AE14" s="2">
        <v>164</v>
      </c>
      <c r="AF14" s="2">
        <v>164</v>
      </c>
      <c r="AG14" s="2">
        <v>164</v>
      </c>
    </row>
    <row r="15" spans="1:143" x14ac:dyDescent="0.3">
      <c r="B15" t="s">
        <v>21</v>
      </c>
      <c r="G15" s="6">
        <f>G13/G14</f>
        <v>-1.0499139414802068</v>
      </c>
      <c r="H15" s="6">
        <f t="shared" ref="H15" si="43">H13/H14</f>
        <v>-0.70085470085470147</v>
      </c>
      <c r="I15" s="6">
        <f t="shared" ref="I15" si="44">I13/I14</f>
        <v>-0.12563667232597614</v>
      </c>
      <c r="J15" s="6">
        <f t="shared" ref="J15" si="45">J13/J14</f>
        <v>0.30655737704918024</v>
      </c>
      <c r="K15" s="6">
        <f>K13/K14</f>
        <v>-8.1908831908831914</v>
      </c>
      <c r="L15" s="6">
        <f t="shared" ref="L15:N15" si="46">L13/L14</f>
        <v>-6.2043795620438102E-2</v>
      </c>
      <c r="M15" s="6">
        <f t="shared" si="46"/>
        <v>0.1767139479905436</v>
      </c>
      <c r="N15" s="6">
        <f t="shared" si="46"/>
        <v>0.39303482587064642</v>
      </c>
      <c r="O15" s="6">
        <f t="shared" ref="O15:R15" si="47">O13/O14</f>
        <v>0.13406854615809827</v>
      </c>
      <c r="P15" s="6">
        <f t="shared" si="47"/>
        <v>4.3263681592039853E-2</v>
      </c>
      <c r="Q15" s="6">
        <f t="shared" si="47"/>
        <v>0.21412382531785493</v>
      </c>
      <c r="R15" s="6">
        <f t="shared" si="47"/>
        <v>0.35070978441127693</v>
      </c>
      <c r="T15" s="6">
        <f>T13/T14</f>
        <v>-0.96707317073170629</v>
      </c>
      <c r="U15" s="6">
        <f>U13/U14</f>
        <v>-0.5542682926829271</v>
      </c>
      <c r="V15" s="6">
        <f>V13/V14</f>
        <v>-2.9524390243902445</v>
      </c>
      <c r="W15" s="6">
        <f t="shared" ref="W15" si="48">W13/W14</f>
        <v>1.3676603658536581</v>
      </c>
      <c r="X15" s="6">
        <f t="shared" ref="X15" si="49">X13/X14</f>
        <v>2.4041574146341458</v>
      </c>
      <c r="Y15" s="6">
        <f t="shared" ref="Y15" si="50">Y13/Y14</f>
        <v>3.026381975487805</v>
      </c>
      <c r="Z15" s="6">
        <f t="shared" ref="Z15" si="51">Z13/Z14</f>
        <v>3.6350891459963424</v>
      </c>
      <c r="AA15" s="6">
        <f t="shared" ref="AA15" si="52">AA13/AA14</f>
        <v>4.0616006910312299</v>
      </c>
      <c r="AB15" s="6">
        <f t="shared" ref="AB15" si="53">AB13/AB14</f>
        <v>4.3601562305161004</v>
      </c>
      <c r="AC15" s="6">
        <f t="shared" ref="AC15" si="54">AC13/AC14</f>
        <v>4.5908811480541507</v>
      </c>
      <c r="AD15" s="6">
        <f t="shared" ref="AD15" si="55">AD13/AD14</f>
        <v>4.7436330251647334</v>
      </c>
      <c r="AE15" s="6">
        <f t="shared" ref="AE15" si="56">AE13/AE14</f>
        <v>4.9012679674420081</v>
      </c>
      <c r="AF15" s="6">
        <f t="shared" ref="AF15" si="57">AF13/AF14</f>
        <v>5.0639384770180538</v>
      </c>
      <c r="AG15" s="6">
        <f t="shared" ref="AG15" si="58">AG13/AG14</f>
        <v>5.2318017512924344</v>
      </c>
    </row>
    <row r="17" spans="2:36" x14ac:dyDescent="0.3">
      <c r="B17" t="s">
        <v>34</v>
      </c>
      <c r="G17" s="9"/>
      <c r="H17" s="9"/>
      <c r="I17" s="9"/>
      <c r="J17" s="9"/>
      <c r="K17" s="9">
        <f>K3/G3-1</f>
        <v>0.48442272449602952</v>
      </c>
      <c r="L17" s="9">
        <f t="shared" ref="L17:N17" si="59">L3/H3-1</f>
        <v>0.53661202185792334</v>
      </c>
      <c r="M17" s="9">
        <f t="shared" si="59"/>
        <v>0.67903614457831307</v>
      </c>
      <c r="N17" s="9">
        <f t="shared" si="59"/>
        <v>0.71216973578863074</v>
      </c>
      <c r="O17" s="9">
        <f t="shared" ref="O17" si="60">O3/K3-1</f>
        <v>0.5</v>
      </c>
      <c r="P17" s="9">
        <f t="shared" ref="P17" si="61">P3/L3-1</f>
        <v>0.35000000000000009</v>
      </c>
      <c r="Q17" s="9">
        <f t="shared" ref="Q17" si="62">Q3/M3-1</f>
        <v>0.25</v>
      </c>
      <c r="R17" s="9">
        <f t="shared" ref="R17" si="63">R3/N3-1</f>
        <v>0.19999999999999996</v>
      </c>
      <c r="T17" s="9"/>
      <c r="U17" s="9">
        <f>U3/T3-1</f>
        <v>0.2059397030148491</v>
      </c>
      <c r="V17" s="9">
        <f t="shared" ref="V17:AG17" si="64">V3/U3-1</f>
        <v>0.61728855721393039</v>
      </c>
      <c r="W17" s="9">
        <f t="shared" si="64"/>
        <v>0.19999999999999996</v>
      </c>
      <c r="X17" s="9">
        <f t="shared" si="64"/>
        <v>0.14999999999999991</v>
      </c>
      <c r="Y17" s="9">
        <f t="shared" si="64"/>
        <v>0.12999999999999989</v>
      </c>
      <c r="Z17" s="9">
        <f t="shared" si="64"/>
        <v>0.1100000000000001</v>
      </c>
      <c r="AA17" s="9">
        <f t="shared" si="64"/>
        <v>7.0000000000000062E-2</v>
      </c>
      <c r="AB17" s="9">
        <f t="shared" si="64"/>
        <v>5.0000000000000044E-2</v>
      </c>
      <c r="AC17" s="9">
        <f t="shared" si="64"/>
        <v>4.0000000000000036E-2</v>
      </c>
      <c r="AD17" s="9">
        <f t="shared" si="64"/>
        <v>3.0000000000000027E-2</v>
      </c>
      <c r="AE17" s="9">
        <f t="shared" si="64"/>
        <v>3.0000000000000027E-2</v>
      </c>
      <c r="AF17" s="9">
        <f t="shared" si="64"/>
        <v>3.0000000000000027E-2</v>
      </c>
      <c r="AG17" s="9">
        <f t="shared" si="64"/>
        <v>3.0000000000000027E-2</v>
      </c>
    </row>
    <row r="18" spans="2:36" x14ac:dyDescent="0.3">
      <c r="B18" t="s">
        <v>35</v>
      </c>
      <c r="G18" s="9">
        <f t="shared" ref="G18:J18" si="65">G5/G3</f>
        <v>0.83567501527183863</v>
      </c>
      <c r="H18" s="9">
        <f t="shared" si="65"/>
        <v>0.84262295081967209</v>
      </c>
      <c r="I18" s="9">
        <f t="shared" si="65"/>
        <v>0.8727710843373494</v>
      </c>
      <c r="J18" s="9">
        <f t="shared" si="65"/>
        <v>0.88430744595676536</v>
      </c>
      <c r="K18" s="9">
        <f>K5/K3</f>
        <v>0.88641975308641974</v>
      </c>
      <c r="L18" s="9">
        <f t="shared" ref="L18:N18" si="66">L5/L3</f>
        <v>0.89509246088193462</v>
      </c>
      <c r="M18" s="9">
        <f t="shared" si="66"/>
        <v>0.90068886337543042</v>
      </c>
      <c r="N18" s="9">
        <f t="shared" si="66"/>
        <v>0.92564881926584053</v>
      </c>
      <c r="O18" s="9">
        <f t="shared" ref="O18:R18" si="67">O5/O3</f>
        <v>0.9</v>
      </c>
      <c r="P18" s="9">
        <f t="shared" si="67"/>
        <v>0.9</v>
      </c>
      <c r="Q18" s="9">
        <f t="shared" si="67"/>
        <v>0.9</v>
      </c>
      <c r="R18" s="9">
        <f t="shared" si="67"/>
        <v>0.9</v>
      </c>
      <c r="T18" s="9">
        <f>T5/T3</f>
        <v>0.84280785960701976</v>
      </c>
      <c r="U18" s="9">
        <f>U5/U3</f>
        <v>0.86194029850746268</v>
      </c>
      <c r="V18" s="9">
        <f t="shared" ref="V18:AG18" si="68">V5/V3</f>
        <v>0.90502191801891874</v>
      </c>
      <c r="W18" s="9">
        <f t="shared" si="68"/>
        <v>0.89999999999999991</v>
      </c>
      <c r="X18" s="9">
        <f t="shared" si="68"/>
        <v>0.9</v>
      </c>
      <c r="Y18" s="9">
        <f t="shared" si="68"/>
        <v>0.9</v>
      </c>
      <c r="Z18" s="9">
        <f t="shared" si="68"/>
        <v>0.9</v>
      </c>
      <c r="AA18" s="9">
        <f t="shared" si="68"/>
        <v>0.89999999999999991</v>
      </c>
      <c r="AB18" s="9">
        <f t="shared" si="68"/>
        <v>0.9</v>
      </c>
      <c r="AC18" s="9">
        <f t="shared" si="68"/>
        <v>0.9</v>
      </c>
      <c r="AD18" s="9">
        <f t="shared" si="68"/>
        <v>0.90000000000000013</v>
      </c>
      <c r="AE18" s="9">
        <f t="shared" si="68"/>
        <v>0.9</v>
      </c>
      <c r="AF18" s="9">
        <f t="shared" si="68"/>
        <v>0.9</v>
      </c>
      <c r="AG18" s="9">
        <f t="shared" si="68"/>
        <v>0.9</v>
      </c>
      <c r="AI18" t="s">
        <v>41</v>
      </c>
      <c r="AJ18" s="9">
        <v>-0.01</v>
      </c>
    </row>
    <row r="19" spans="2:36" x14ac:dyDescent="0.3">
      <c r="B19" t="s">
        <v>36</v>
      </c>
      <c r="G19" s="9"/>
      <c r="H19" s="9"/>
      <c r="I19" s="9"/>
      <c r="J19" s="9"/>
      <c r="K19" s="9">
        <f>K6/G6-1</f>
        <v>3.0165441176470589</v>
      </c>
      <c r="L19" s="9">
        <f t="shared" ref="L19:N19" si="69">L6/H6-1</f>
        <v>0.30173199635369197</v>
      </c>
      <c r="M19" s="9">
        <f t="shared" si="69"/>
        <v>0.53924284395198518</v>
      </c>
      <c r="N19" s="9">
        <f t="shared" si="69"/>
        <v>0.68996415770609332</v>
      </c>
      <c r="O19" s="9">
        <f t="shared" ref="O19" si="70">O6/K6-1</f>
        <v>-0.63386727688787192</v>
      </c>
      <c r="P19" s="9">
        <f t="shared" ref="P19" si="71">P6/L6-1</f>
        <v>0.30000000000000004</v>
      </c>
      <c r="Q19" s="9">
        <f t="shared" ref="Q19" si="72">Q6/M6-1</f>
        <v>0.19999999999999996</v>
      </c>
      <c r="R19" s="9">
        <f t="shared" ref="R19" si="73">R6/N6-1</f>
        <v>0.19999999999999996</v>
      </c>
      <c r="T19" s="9"/>
      <c r="U19" s="9">
        <f>U6/T6-1</f>
        <v>0.20016429353778764</v>
      </c>
      <c r="V19" s="9">
        <f t="shared" ref="V19:AG19" si="74">V6/U6-1</f>
        <v>1.1334702258726899</v>
      </c>
      <c r="W19" s="9">
        <f t="shared" si="74"/>
        <v>-0.46529782910918616</v>
      </c>
      <c r="X19" s="9">
        <f t="shared" si="74"/>
        <v>5.0000000000000044E-2</v>
      </c>
      <c r="Y19" s="9">
        <f t="shared" si="74"/>
        <v>5.0000000000000044E-2</v>
      </c>
      <c r="Z19" s="9">
        <f t="shared" si="74"/>
        <v>4.0000000000000036E-2</v>
      </c>
      <c r="AA19" s="9">
        <f t="shared" si="74"/>
        <v>3.0000000000000027E-2</v>
      </c>
      <c r="AB19" s="9">
        <f t="shared" si="74"/>
        <v>3.0000000000000027E-2</v>
      </c>
      <c r="AC19" s="9">
        <f t="shared" si="74"/>
        <v>3.0000000000000027E-2</v>
      </c>
      <c r="AD19" s="9">
        <f t="shared" si="74"/>
        <v>3.0000000000000027E-2</v>
      </c>
      <c r="AE19" s="9">
        <f t="shared" si="74"/>
        <v>3.0000000000000027E-2</v>
      </c>
      <c r="AF19" s="9">
        <f t="shared" si="74"/>
        <v>3.0000000000000027E-2</v>
      </c>
      <c r="AG19" s="9">
        <f t="shared" si="74"/>
        <v>3.0000000000000027E-2</v>
      </c>
      <c r="AI19" t="s">
        <v>42</v>
      </c>
      <c r="AJ19" s="9">
        <v>0.08</v>
      </c>
    </row>
    <row r="20" spans="2:36" x14ac:dyDescent="0.3">
      <c r="B20" t="s">
        <v>37</v>
      </c>
      <c r="G20" s="9">
        <f t="shared" ref="G20:J20" si="75">G7/G3</f>
        <v>0.3536957849725107</v>
      </c>
      <c r="H20" s="9">
        <f t="shared" si="75"/>
        <v>0.32349726775956283</v>
      </c>
      <c r="I20" s="9">
        <f t="shared" si="75"/>
        <v>0.26554216867469882</v>
      </c>
      <c r="J20" s="9">
        <f t="shared" si="75"/>
        <v>0.23178542834267413</v>
      </c>
      <c r="K20" s="9">
        <f>K7/K3</f>
        <v>0.51069958847736618</v>
      </c>
      <c r="L20" s="9">
        <f t="shared" ref="L20:N20" si="76">L7/L3</f>
        <v>0.25426742532005692</v>
      </c>
      <c r="M20" s="9">
        <f t="shared" si="76"/>
        <v>0.21383467278989668</v>
      </c>
      <c r="N20" s="9">
        <f t="shared" si="76"/>
        <v>0.18821603927986907</v>
      </c>
      <c r="O20" s="9">
        <f t="shared" ref="O20:R20" si="77">O7/O3</f>
        <v>0.23</v>
      </c>
      <c r="P20" s="9">
        <f t="shared" si="77"/>
        <v>0.23</v>
      </c>
      <c r="Q20" s="9">
        <f t="shared" si="77"/>
        <v>0.21</v>
      </c>
      <c r="R20" s="9">
        <f t="shared" si="77"/>
        <v>0.19</v>
      </c>
      <c r="T20" s="9">
        <f>T7/T3</f>
        <v>0.33763311834408277</v>
      </c>
      <c r="U20" s="9">
        <f>U7/U3</f>
        <v>0.28631840796019897</v>
      </c>
      <c r="V20" s="9">
        <f t="shared" ref="V20:AG20" si="78">V7/V3</f>
        <v>0.26963008536491584</v>
      </c>
      <c r="W20" s="9">
        <f t="shared" si="78"/>
        <v>0.3</v>
      </c>
      <c r="X20" s="9">
        <f t="shared" si="78"/>
        <v>0.25</v>
      </c>
      <c r="Y20" s="9">
        <f t="shared" si="78"/>
        <v>0.25</v>
      </c>
      <c r="Z20" s="9">
        <f t="shared" si="78"/>
        <v>0.25</v>
      </c>
      <c r="AA20" s="9">
        <f t="shared" si="78"/>
        <v>0.25</v>
      </c>
      <c r="AB20" s="9">
        <f t="shared" si="78"/>
        <v>0.25</v>
      </c>
      <c r="AC20" s="9">
        <f t="shared" si="78"/>
        <v>0.25</v>
      </c>
      <c r="AD20" s="9">
        <f t="shared" si="78"/>
        <v>0.25</v>
      </c>
      <c r="AE20" s="9">
        <f t="shared" si="78"/>
        <v>0.25</v>
      </c>
      <c r="AF20" s="9">
        <f t="shared" si="78"/>
        <v>0.25</v>
      </c>
      <c r="AG20" s="9">
        <f t="shared" si="78"/>
        <v>0.25</v>
      </c>
      <c r="AI20" t="s">
        <v>66</v>
      </c>
      <c r="AJ20" s="2">
        <f>NPV(AJ19,W13:EM13)</f>
        <v>8343.8303188364025</v>
      </c>
    </row>
    <row r="21" spans="2:36" x14ac:dyDescent="0.3">
      <c r="B21" t="s">
        <v>38</v>
      </c>
      <c r="G21" s="9"/>
      <c r="H21" s="9"/>
      <c r="I21" s="9"/>
      <c r="J21" s="9"/>
      <c r="K21" s="9">
        <f t="shared" ref="K21" si="79">K8/G8-1</f>
        <v>4.9681372549019613</v>
      </c>
      <c r="L21" s="9">
        <f t="shared" ref="L21" si="80">L8/H8-1</f>
        <v>0.79319371727748678</v>
      </c>
      <c r="M21" s="9">
        <f t="shared" ref="M21" si="81">M8/I8-1</f>
        <v>0.76139410187667589</v>
      </c>
      <c r="N21" s="9">
        <f t="shared" ref="N21" si="82">N8/J8-1</f>
        <v>0.52795031055900621</v>
      </c>
      <c r="O21" s="9">
        <f t="shared" ref="O21" si="83">O8/K8-1</f>
        <v>-0.69199178644763859</v>
      </c>
      <c r="P21" s="9">
        <f t="shared" ref="P21" si="84">P8/L8-1</f>
        <v>0.19999999999999996</v>
      </c>
      <c r="Q21" s="9">
        <f t="shared" ref="Q21" si="85">Q8/M8-1</f>
        <v>0.30000000000000004</v>
      </c>
      <c r="R21" s="9">
        <f t="shared" ref="R21" si="86">R8/N8-1</f>
        <v>0.25</v>
      </c>
      <c r="T21" s="9"/>
      <c r="U21" s="9">
        <f>U8/T8-1</f>
        <v>0.14534075104311528</v>
      </c>
      <c r="V21" s="9">
        <f t="shared" ref="V21:AG21" si="87">V8/U8-1</f>
        <v>1.7413479052823315</v>
      </c>
      <c r="W21" s="9">
        <f t="shared" si="87"/>
        <v>-0.44629014396456257</v>
      </c>
      <c r="X21" s="9">
        <f t="shared" si="87"/>
        <v>3.0000000000000027E-2</v>
      </c>
      <c r="Y21" s="9">
        <f t="shared" si="87"/>
        <v>3.0000000000000027E-2</v>
      </c>
      <c r="Z21" s="9">
        <f t="shared" si="87"/>
        <v>3.0000000000000027E-2</v>
      </c>
      <c r="AA21" s="9">
        <f t="shared" si="87"/>
        <v>2.0000000000000018E-2</v>
      </c>
      <c r="AB21" s="9">
        <f t="shared" si="87"/>
        <v>2.0000000000000018E-2</v>
      </c>
      <c r="AC21" s="9">
        <f t="shared" si="87"/>
        <v>2.0000000000000018E-2</v>
      </c>
      <c r="AD21" s="9">
        <f t="shared" si="87"/>
        <v>2.0000000000000018E-2</v>
      </c>
      <c r="AE21" s="9">
        <f t="shared" si="87"/>
        <v>2.0000000000000018E-2</v>
      </c>
      <c r="AF21" s="9">
        <f t="shared" si="87"/>
        <v>2.0000000000000018E-2</v>
      </c>
      <c r="AG21" s="9">
        <f t="shared" si="87"/>
        <v>2.0000000000000018E-2</v>
      </c>
      <c r="AI21" t="s">
        <v>43</v>
      </c>
      <c r="AJ21" s="2">
        <f>Main!D8</f>
        <v>1670.3</v>
      </c>
    </row>
    <row r="22" spans="2:36" x14ac:dyDescent="0.3">
      <c r="B22" t="s">
        <v>39</v>
      </c>
      <c r="G22" s="9">
        <f t="shared" ref="G22:J22" si="88">G9/G3</f>
        <v>-0.43188759926695186</v>
      </c>
      <c r="H22" s="9">
        <f t="shared" si="88"/>
        <v>-0.28907103825136632</v>
      </c>
      <c r="I22" s="9">
        <f t="shared" si="88"/>
        <v>-9.4457831325301181E-2</v>
      </c>
      <c r="J22" s="9">
        <f t="shared" si="88"/>
        <v>1.2409927942353859E-2</v>
      </c>
      <c r="K22" s="9">
        <f>K9/K3</f>
        <v>-2.4246913580246914</v>
      </c>
      <c r="L22" s="9">
        <f t="shared" ref="L22:N22" si="89">L9/L3</f>
        <v>-0.11059743954480805</v>
      </c>
      <c r="M22" s="9">
        <f t="shared" si="89"/>
        <v>1.9804822043627948E-2</v>
      </c>
      <c r="N22" s="9">
        <f t="shared" si="89"/>
        <v>0.12391863455693231</v>
      </c>
      <c r="O22" s="9">
        <f t="shared" ref="O22:R22" si="90">O9/O3</f>
        <v>2.5281207133058915E-2</v>
      </c>
      <c r="P22" s="9">
        <f t="shared" si="90"/>
        <v>-3.5547652916073945E-2</v>
      </c>
      <c r="Q22" s="9">
        <f t="shared" si="90"/>
        <v>3.4546498277841467E-2</v>
      </c>
      <c r="R22" s="9">
        <f t="shared" si="90"/>
        <v>8.9296235679214395E-2</v>
      </c>
      <c r="T22" s="9">
        <f>T9/T3</f>
        <v>-0.25828708564571745</v>
      </c>
      <c r="U22" s="9">
        <f>U9/U3</f>
        <v>-0.17437810945273638</v>
      </c>
      <c r="V22" s="9">
        <f t="shared" ref="V22:AG22" si="91">V9/V3</f>
        <v>-0.43097746673844506</v>
      </c>
      <c r="W22" s="9">
        <f t="shared" si="91"/>
        <v>0.11934169037914322</v>
      </c>
      <c r="X22" s="9">
        <f t="shared" si="91"/>
        <v>0.21392449011209227</v>
      </c>
      <c r="Y22" s="9">
        <f t="shared" si="91"/>
        <v>0.24733693128363327</v>
      </c>
      <c r="Z22" s="9">
        <f t="shared" si="91"/>
        <v>0.27390849141108364</v>
      </c>
      <c r="AA22" s="9">
        <f t="shared" si="91"/>
        <v>0.28910232859270502</v>
      </c>
      <c r="AB22" s="9">
        <f t="shared" si="91"/>
        <v>0.29707850172818362</v>
      </c>
      <c r="AC22" s="9">
        <f t="shared" si="91"/>
        <v>0.30155271845276482</v>
      </c>
      <c r="AD22" s="9">
        <f t="shared" si="91"/>
        <v>0.30262296660349602</v>
      </c>
      <c r="AE22" s="9">
        <f t="shared" si="91"/>
        <v>0.30368282399548208</v>
      </c>
      <c r="AF22" s="9">
        <f t="shared" si="91"/>
        <v>0.30473239150987624</v>
      </c>
      <c r="AG22" s="9">
        <f t="shared" si="91"/>
        <v>0.30577176904840248</v>
      </c>
      <c r="AI22" t="s">
        <v>44</v>
      </c>
      <c r="AJ22" s="2">
        <f>AJ20+AJ21</f>
        <v>10014.130318836402</v>
      </c>
    </row>
    <row r="23" spans="2:36" x14ac:dyDescent="0.3">
      <c r="B23" t="s">
        <v>19</v>
      </c>
      <c r="G23" s="9">
        <f t="shared" ref="G23:J23" si="92">G12/G11</f>
        <v>-1.6666666666666663E-2</v>
      </c>
      <c r="H23" s="9">
        <f t="shared" si="92"/>
        <v>-3.5353535353535318E-2</v>
      </c>
      <c r="I23" s="9">
        <f t="shared" si="92"/>
        <v>-5.714285714285719E-2</v>
      </c>
      <c r="J23" s="9">
        <f t="shared" si="92"/>
        <v>4.5918367346938792E-2</v>
      </c>
      <c r="K23" s="9">
        <f>K12/K11</f>
        <v>-6.9613644274277764E-4</v>
      </c>
      <c r="L23" s="9">
        <f t="shared" ref="L23:N23" si="93">L12/L11</f>
        <v>1.923076923076919E-2</v>
      </c>
      <c r="M23" s="9">
        <f t="shared" si="93"/>
        <v>0</v>
      </c>
      <c r="N23" s="9">
        <f t="shared" si="93"/>
        <v>-1.4265335235378044E-2</v>
      </c>
      <c r="O23" s="9">
        <f t="shared" ref="O23:R23" si="94">O12/O11</f>
        <v>0</v>
      </c>
      <c r="P23" s="9">
        <f t="shared" si="94"/>
        <v>0</v>
      </c>
      <c r="Q23" s="9">
        <f t="shared" si="94"/>
        <v>0</v>
      </c>
      <c r="R23" s="9">
        <f t="shared" si="94"/>
        <v>0</v>
      </c>
      <c r="T23" s="9">
        <f>T12/T11</f>
        <v>-3.7974683544303835E-3</v>
      </c>
      <c r="U23" s="9">
        <f>U12/U11</f>
        <v>-4.362801377726748E-2</v>
      </c>
      <c r="V23" s="9">
        <f t="shared" ref="V23:AG23" si="95">V12/V11</f>
        <v>1.6494845360824739E-3</v>
      </c>
      <c r="W23" s="9">
        <f t="shared" si="95"/>
        <v>0.15</v>
      </c>
      <c r="X23" s="9">
        <f t="shared" si="95"/>
        <v>0.15</v>
      </c>
      <c r="Y23" s="9">
        <f t="shared" si="95"/>
        <v>0.15</v>
      </c>
      <c r="Z23" s="9">
        <f t="shared" si="95"/>
        <v>0.15</v>
      </c>
      <c r="AA23" s="9">
        <f t="shared" si="95"/>
        <v>0.15</v>
      </c>
      <c r="AB23" s="9">
        <f t="shared" si="95"/>
        <v>0.15</v>
      </c>
      <c r="AC23" s="9">
        <f t="shared" si="95"/>
        <v>0.15</v>
      </c>
      <c r="AD23" s="9">
        <f t="shared" si="95"/>
        <v>0.15</v>
      </c>
      <c r="AE23" s="9">
        <f t="shared" si="95"/>
        <v>0.15</v>
      </c>
      <c r="AF23" s="9">
        <f t="shared" si="95"/>
        <v>0.15</v>
      </c>
      <c r="AG23" s="9">
        <f t="shared" si="95"/>
        <v>0.15</v>
      </c>
      <c r="AI23" t="s">
        <v>45</v>
      </c>
      <c r="AJ23" s="1">
        <f>AJ22/AG14</f>
        <v>61.061770236807327</v>
      </c>
    </row>
    <row r="24" spans="2:36" x14ac:dyDescent="0.3">
      <c r="B24" t="s">
        <v>40</v>
      </c>
      <c r="G24" s="9">
        <f t="shared" ref="G24:J24" si="96">G13/G3</f>
        <v>-0.37263286499694576</v>
      </c>
      <c r="H24" s="9">
        <f t="shared" si="96"/>
        <v>-0.22404371584699473</v>
      </c>
      <c r="I24" s="9">
        <f t="shared" si="96"/>
        <v>-3.5662650602409612E-2</v>
      </c>
      <c r="J24" s="9">
        <f t="shared" si="96"/>
        <v>7.4859887910328243E-2</v>
      </c>
      <c r="K24" s="9">
        <f>K13/K3</f>
        <v>-2.3662551440329218</v>
      </c>
      <c r="L24" s="9">
        <f t="shared" ref="L24:N24" si="97">L13/L3</f>
        <v>-3.627311522048373E-2</v>
      </c>
      <c r="M24" s="9">
        <f t="shared" si="97"/>
        <v>8.5820895522388002E-2</v>
      </c>
      <c r="N24" s="9">
        <f t="shared" si="97"/>
        <v>0.16623801730184695</v>
      </c>
      <c r="O24" s="9">
        <f t="shared" ref="O24:R24" si="98">O13/O3</f>
        <v>6.6537722908093205E-2</v>
      </c>
      <c r="P24" s="9">
        <f t="shared" si="98"/>
        <v>2.0616405879563801E-2</v>
      </c>
      <c r="Q24" s="9">
        <f t="shared" si="98"/>
        <v>8.8943742824339742E-2</v>
      </c>
      <c r="R24" s="9">
        <f t="shared" si="98"/>
        <v>0.12361351414542904</v>
      </c>
      <c r="T24" s="9">
        <f>T13/T3</f>
        <v>-0.23788810559471998</v>
      </c>
      <c r="U24" s="9">
        <f>U13/U3</f>
        <v>-0.11305970149253737</v>
      </c>
      <c r="V24" s="9">
        <f t="shared" ref="V24:AG24" si="99">V13/V3</f>
        <v>-0.3723756056294702</v>
      </c>
      <c r="W24" s="9">
        <f t="shared" si="99"/>
        <v>0.1437465072162834</v>
      </c>
      <c r="X24" s="9">
        <f t="shared" si="99"/>
        <v>0.21972734051339318</v>
      </c>
      <c r="Y24" s="9">
        <f t="shared" si="99"/>
        <v>0.24477468330406016</v>
      </c>
      <c r="Z24" s="9">
        <f t="shared" si="99"/>
        <v>0.2648712631628094</v>
      </c>
      <c r="AA24" s="9">
        <f t="shared" si="99"/>
        <v>0.27658792960967771</v>
      </c>
      <c r="AB24" s="9">
        <f t="shared" si="99"/>
        <v>0.28278003962615111</v>
      </c>
      <c r="AC24" s="9">
        <f t="shared" si="99"/>
        <v>0.28629213044630292</v>
      </c>
      <c r="AD24" s="9">
        <f t="shared" si="99"/>
        <v>0.28720184137442445</v>
      </c>
      <c r="AE24" s="9">
        <f t="shared" si="99"/>
        <v>0.28810272015761257</v>
      </c>
      <c r="AF24" s="9">
        <f t="shared" si="99"/>
        <v>0.28899485254484764</v>
      </c>
      <c r="AG24" s="9">
        <f t="shared" si="99"/>
        <v>0.2898783234525949</v>
      </c>
      <c r="AI24" t="s">
        <v>46</v>
      </c>
      <c r="AJ24" s="1">
        <f>Main!D3</f>
        <v>96.02</v>
      </c>
    </row>
    <row r="25" spans="2:36" x14ac:dyDescent="0.3">
      <c r="AI25" s="7" t="s">
        <v>47</v>
      </c>
      <c r="AJ25" s="10">
        <f>AJ23/AJ24-1</f>
        <v>-0.36407237828778038</v>
      </c>
    </row>
    <row r="26" spans="2:36" x14ac:dyDescent="0.3">
      <c r="AI26" t="s">
        <v>48</v>
      </c>
      <c r="AJ26" s="5" t="s">
        <v>67</v>
      </c>
    </row>
    <row r="27" spans="2:36" s="7" customFormat="1" x14ac:dyDescent="0.3">
      <c r="B27" s="7" t="s">
        <v>49</v>
      </c>
      <c r="T27" s="8">
        <f>T13</f>
        <v>-158.59999999999982</v>
      </c>
      <c r="U27" s="8">
        <f>U13</f>
        <v>-90.900000000000048</v>
      </c>
      <c r="V27" s="8">
        <f>V13</f>
        <v>-484.2000000000001</v>
      </c>
      <c r="W27" s="8">
        <f t="shared" ref="W27:AG27" si="100">W13</f>
        <v>224.29629999999995</v>
      </c>
      <c r="X27" s="8">
        <f t="shared" si="100"/>
        <v>394.28181599999988</v>
      </c>
      <c r="Y27" s="8">
        <f t="shared" si="100"/>
        <v>496.32664398000003</v>
      </c>
      <c r="Z27" s="8">
        <f t="shared" si="100"/>
        <v>596.15461994340012</v>
      </c>
      <c r="AA27" s="8">
        <f t="shared" si="100"/>
        <v>666.10251332912173</v>
      </c>
      <c r="AB27" s="8">
        <f t="shared" si="100"/>
        <v>715.06562180464039</v>
      </c>
      <c r="AC27" s="8">
        <f t="shared" si="100"/>
        <v>752.90450828088069</v>
      </c>
      <c r="AD27" s="8">
        <f t="shared" si="100"/>
        <v>777.95581612701631</v>
      </c>
      <c r="AE27" s="8">
        <f t="shared" si="100"/>
        <v>803.80794666048939</v>
      </c>
      <c r="AF27" s="8">
        <f t="shared" si="100"/>
        <v>830.48591023096083</v>
      </c>
      <c r="AG27" s="8">
        <f t="shared" si="100"/>
        <v>858.01548721195923</v>
      </c>
    </row>
    <row r="28" spans="2:36" x14ac:dyDescent="0.3">
      <c r="B28" t="s">
        <v>50</v>
      </c>
      <c r="T28" s="2">
        <v>8</v>
      </c>
      <c r="U28" s="2">
        <v>13.7</v>
      </c>
      <c r="V28" s="2">
        <v>15.6</v>
      </c>
      <c r="W28">
        <f>V28*1.2</f>
        <v>18.72</v>
      </c>
      <c r="X28">
        <f t="shared" ref="X28:Z28" si="101">W28*1.2</f>
        <v>22.463999999999999</v>
      </c>
      <c r="Y28">
        <f t="shared" si="101"/>
        <v>26.956799999999998</v>
      </c>
      <c r="Z28">
        <f t="shared" si="101"/>
        <v>32.348159999999993</v>
      </c>
      <c r="AA28">
        <f>Z28*1.05</f>
        <v>33.965567999999998</v>
      </c>
      <c r="AB28">
        <f t="shared" ref="AB28:AG28" si="102">AA28*1.05</f>
        <v>35.663846399999997</v>
      </c>
      <c r="AC28">
        <f t="shared" si="102"/>
        <v>37.447038720000002</v>
      </c>
      <c r="AD28">
        <f t="shared" si="102"/>
        <v>39.319390656000003</v>
      </c>
      <c r="AE28">
        <f t="shared" si="102"/>
        <v>41.285360188800006</v>
      </c>
      <c r="AF28">
        <f t="shared" si="102"/>
        <v>43.349628198240005</v>
      </c>
      <c r="AG28">
        <f t="shared" si="102"/>
        <v>45.517109608152005</v>
      </c>
    </row>
    <row r="29" spans="2:36" x14ac:dyDescent="0.3">
      <c r="B29" t="s">
        <v>51</v>
      </c>
      <c r="T29" s="2">
        <v>10.5</v>
      </c>
      <c r="U29" s="2">
        <v>11.4</v>
      </c>
      <c r="V29" s="2">
        <v>4.0999999999999996</v>
      </c>
      <c r="W29" s="2">
        <v>10</v>
      </c>
      <c r="X29" s="2">
        <v>10</v>
      </c>
      <c r="Y29" s="2">
        <v>10</v>
      </c>
      <c r="Z29" s="2">
        <v>10</v>
      </c>
      <c r="AA29" s="2">
        <v>10</v>
      </c>
      <c r="AB29" s="2">
        <v>10</v>
      </c>
      <c r="AC29" s="2">
        <v>10</v>
      </c>
      <c r="AD29" s="2">
        <v>10</v>
      </c>
      <c r="AE29" s="2">
        <v>10</v>
      </c>
      <c r="AF29" s="2">
        <v>10</v>
      </c>
      <c r="AG29" s="2">
        <v>10</v>
      </c>
    </row>
    <row r="30" spans="2:36" x14ac:dyDescent="0.3">
      <c r="B30" t="s">
        <v>52</v>
      </c>
      <c r="T30" s="2">
        <v>-3.3</v>
      </c>
      <c r="U30" s="2">
        <v>-27.4</v>
      </c>
      <c r="V30" s="2">
        <v>-43.4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2:36" x14ac:dyDescent="0.3">
      <c r="B31" t="s">
        <v>53</v>
      </c>
      <c r="T31" s="2">
        <v>55.3</v>
      </c>
      <c r="U31" s="2">
        <v>47.6</v>
      </c>
      <c r="V31" s="2">
        <v>801.6</v>
      </c>
      <c r="W31">
        <f>V31*0.4</f>
        <v>320.64000000000004</v>
      </c>
      <c r="X31">
        <f>W31*0.7</f>
        <v>224.44800000000001</v>
      </c>
      <c r="Y31">
        <f t="shared" ref="Y31" si="103">X31*0.7</f>
        <v>157.11359999999999</v>
      </c>
      <c r="Z31">
        <f>Y31*0.95</f>
        <v>149.25791999999998</v>
      </c>
      <c r="AA31">
        <f t="shared" ref="AA31:AG31" si="104">Z31*0.95</f>
        <v>141.79502399999998</v>
      </c>
      <c r="AB31">
        <f t="shared" si="104"/>
        <v>134.70527279999999</v>
      </c>
      <c r="AC31">
        <f t="shared" si="104"/>
        <v>127.97000915999999</v>
      </c>
      <c r="AD31">
        <f t="shared" si="104"/>
        <v>121.57150870199999</v>
      </c>
      <c r="AE31">
        <f t="shared" si="104"/>
        <v>115.49293326689998</v>
      </c>
      <c r="AF31">
        <f t="shared" si="104"/>
        <v>109.71828660355497</v>
      </c>
      <c r="AG31">
        <f t="shared" si="104"/>
        <v>104.23237227337722</v>
      </c>
    </row>
    <row r="32" spans="2:36" x14ac:dyDescent="0.3">
      <c r="B32" t="s">
        <v>54</v>
      </c>
      <c r="T32" s="2">
        <v>4.0999999999999996</v>
      </c>
      <c r="U32" s="2">
        <v>0.5</v>
      </c>
      <c r="V32" s="2">
        <v>-4.2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2:144" x14ac:dyDescent="0.3">
      <c r="B33" t="s">
        <v>55</v>
      </c>
      <c r="T33" s="2">
        <v>-30.2</v>
      </c>
      <c r="U33" s="2">
        <v>-53.3</v>
      </c>
      <c r="V33" s="2">
        <v>-104.3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2:144" x14ac:dyDescent="0.3">
      <c r="B34" t="s">
        <v>56</v>
      </c>
      <c r="T34" s="2">
        <v>-1.9</v>
      </c>
      <c r="U34" s="2">
        <v>3.9</v>
      </c>
      <c r="V34" s="2">
        <v>-19.5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2:144" x14ac:dyDescent="0.3">
      <c r="B35" t="s">
        <v>51</v>
      </c>
      <c r="T35" s="2">
        <v>-10.3</v>
      </c>
      <c r="U35" s="2">
        <v>-5.8</v>
      </c>
      <c r="V35" s="2">
        <v>-2.4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2:144" x14ac:dyDescent="0.3">
      <c r="B36" t="s">
        <v>57</v>
      </c>
      <c r="T36" s="2">
        <v>10.9</v>
      </c>
      <c r="U36" s="2">
        <v>12.5</v>
      </c>
      <c r="V36" s="2">
        <v>-0.6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2:144" x14ac:dyDescent="0.3">
      <c r="B37" t="s">
        <v>58</v>
      </c>
      <c r="T37" s="2">
        <v>21.5</v>
      </c>
      <c r="U37" s="2">
        <v>12.7</v>
      </c>
      <c r="V37" s="2">
        <v>59.3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2:144" s="7" customFormat="1" x14ac:dyDescent="0.3">
      <c r="B38" s="7" t="s">
        <v>59</v>
      </c>
      <c r="T38" s="8">
        <f>T27+SUM(T28:T37)</f>
        <v>-93.999999999999829</v>
      </c>
      <c r="U38" s="8">
        <f>U27+SUM(U28:U37)</f>
        <v>-75.100000000000037</v>
      </c>
      <c r="V38" s="8">
        <f>V27+SUM(V28:V37)</f>
        <v>221.99999999999983</v>
      </c>
      <c r="W38" s="8">
        <f t="shared" ref="W38" si="105">W27+SUM(W28:W37)</f>
        <v>573.65629999999999</v>
      </c>
      <c r="X38" s="8">
        <f t="shared" ref="X38" si="106">X27+SUM(X28:X37)</f>
        <v>651.19381599999997</v>
      </c>
      <c r="Y38" s="8">
        <f t="shared" ref="Y38" si="107">Y27+SUM(Y28:Y37)</f>
        <v>690.39704398000003</v>
      </c>
      <c r="Z38" s="8">
        <f t="shared" ref="Z38" si="108">Z27+SUM(Z28:Z37)</f>
        <v>787.76069994340014</v>
      </c>
      <c r="AA38" s="8">
        <f t="shared" ref="AA38" si="109">AA27+SUM(AA28:AA37)</f>
        <v>851.86310532912171</v>
      </c>
      <c r="AB38" s="8">
        <f t="shared" ref="AB38" si="110">AB27+SUM(AB28:AB37)</f>
        <v>895.43474100464039</v>
      </c>
      <c r="AC38" s="8">
        <f t="shared" ref="AC38" si="111">AC27+SUM(AC28:AC37)</f>
        <v>928.32155616088062</v>
      </c>
      <c r="AD38" s="8">
        <f t="shared" ref="AD38" si="112">AD27+SUM(AD28:AD37)</f>
        <v>948.84671548501626</v>
      </c>
      <c r="AE38" s="8">
        <f t="shared" ref="AE38" si="113">AE27+SUM(AE28:AE37)</f>
        <v>970.5862401161894</v>
      </c>
      <c r="AF38" s="8">
        <f t="shared" ref="AF38" si="114">AF27+SUM(AF28:AF37)</f>
        <v>993.55382503275587</v>
      </c>
      <c r="AG38" s="8">
        <f t="shared" ref="AG38" si="115">AG27+SUM(AG28:AG37)</f>
        <v>1017.7649690934884</v>
      </c>
    </row>
    <row r="39" spans="2:144" x14ac:dyDescent="0.3">
      <c r="B39" t="s">
        <v>60</v>
      </c>
      <c r="T39" s="2">
        <v>6.2</v>
      </c>
      <c r="U39" s="2">
        <v>9.6999999999999993</v>
      </c>
      <c r="V39" s="2">
        <v>6.2</v>
      </c>
      <c r="W39" s="2">
        <v>6.2</v>
      </c>
      <c r="X39" s="2">
        <v>6.2</v>
      </c>
      <c r="Y39" s="2">
        <v>6.2</v>
      </c>
      <c r="Z39" s="2">
        <v>6.2</v>
      </c>
      <c r="AA39" s="2">
        <v>6.2</v>
      </c>
      <c r="AB39" s="2">
        <v>6.2</v>
      </c>
      <c r="AC39" s="2">
        <v>6.2</v>
      </c>
      <c r="AD39" s="2">
        <v>6.2</v>
      </c>
      <c r="AE39" s="2">
        <v>6.2</v>
      </c>
      <c r="AF39" s="2">
        <v>6.2</v>
      </c>
      <c r="AG39" s="2">
        <v>6.2</v>
      </c>
    </row>
    <row r="40" spans="2:144" s="7" customFormat="1" x14ac:dyDescent="0.3">
      <c r="B40" s="7" t="s">
        <v>61</v>
      </c>
      <c r="T40" s="8">
        <f>T38-T39</f>
        <v>-100.19999999999983</v>
      </c>
      <c r="U40" s="8">
        <f>U38-U39</f>
        <v>-84.80000000000004</v>
      </c>
      <c r="V40" s="8">
        <f>V38-V39</f>
        <v>215.79999999999984</v>
      </c>
      <c r="W40" s="8">
        <f t="shared" ref="W40" si="116">W38-W39</f>
        <v>567.45629999999994</v>
      </c>
      <c r="X40" s="8">
        <f t="shared" ref="X40" si="117">X38-X39</f>
        <v>644.99381599999992</v>
      </c>
      <c r="Y40" s="8">
        <f t="shared" ref="Y40" si="118">Y38-Y39</f>
        <v>684.19704397999999</v>
      </c>
      <c r="Z40" s="8">
        <f t="shared" ref="Z40" si="119">Z38-Z39</f>
        <v>781.5606999434001</v>
      </c>
      <c r="AA40" s="8">
        <f t="shared" ref="AA40" si="120">AA38-AA39</f>
        <v>845.66310532912166</v>
      </c>
      <c r="AB40" s="8">
        <f t="shared" ref="AB40" si="121">AB38-AB39</f>
        <v>889.23474100464034</v>
      </c>
      <c r="AC40" s="8">
        <f t="shared" ref="AC40" si="122">AC38-AC39</f>
        <v>922.12155616088057</v>
      </c>
      <c r="AD40" s="8">
        <f t="shared" ref="AD40" si="123">AD38-AD39</f>
        <v>942.64671548501622</v>
      </c>
      <c r="AE40" s="8">
        <f t="shared" ref="AE40" si="124">AE38-AE39</f>
        <v>964.38624011618936</v>
      </c>
      <c r="AF40" s="8">
        <f t="shared" ref="AF40" si="125">AF38-AF39</f>
        <v>987.35382503275582</v>
      </c>
      <c r="AG40" s="8">
        <f t="shared" ref="AG40" si="126">AG38-AG39</f>
        <v>1011.5649690934883</v>
      </c>
      <c r="AH40" s="7">
        <f>AG40*(1+$AJ$18)</f>
        <v>1001.4493194025534</v>
      </c>
      <c r="AI40" s="7">
        <f t="shared" ref="AI40:CT40" si="127">AH40*(1+$AJ$18)</f>
        <v>991.43482620852785</v>
      </c>
      <c r="AJ40" s="7">
        <f t="shared" si="127"/>
        <v>981.52047794644261</v>
      </c>
      <c r="AK40" s="7">
        <f t="shared" si="127"/>
        <v>971.70527316697815</v>
      </c>
      <c r="AL40" s="7">
        <f t="shared" si="127"/>
        <v>961.98822043530834</v>
      </c>
      <c r="AM40" s="7">
        <f t="shared" si="127"/>
        <v>952.36833823095526</v>
      </c>
      <c r="AN40" s="7">
        <f t="shared" si="127"/>
        <v>942.84465484864575</v>
      </c>
      <c r="AO40" s="7">
        <f t="shared" si="127"/>
        <v>933.41620830015927</v>
      </c>
      <c r="AP40" s="7">
        <f t="shared" si="127"/>
        <v>924.08204621715765</v>
      </c>
      <c r="AQ40" s="7">
        <f t="shared" si="127"/>
        <v>914.84122575498611</v>
      </c>
      <c r="AR40" s="7">
        <f t="shared" si="127"/>
        <v>905.69281349743619</v>
      </c>
      <c r="AS40" s="7">
        <f t="shared" si="127"/>
        <v>896.63588536246186</v>
      </c>
      <c r="AT40" s="7">
        <f t="shared" si="127"/>
        <v>887.66952650883718</v>
      </c>
      <c r="AU40" s="7">
        <f t="shared" si="127"/>
        <v>878.79283124374876</v>
      </c>
      <c r="AV40" s="7">
        <f t="shared" si="127"/>
        <v>870.00490293131122</v>
      </c>
      <c r="AW40" s="7">
        <f t="shared" si="127"/>
        <v>861.30485390199806</v>
      </c>
      <c r="AX40" s="7">
        <f t="shared" si="127"/>
        <v>852.69180536297802</v>
      </c>
      <c r="AY40" s="7">
        <f t="shared" si="127"/>
        <v>844.16488730934827</v>
      </c>
      <c r="AZ40" s="7">
        <f t="shared" si="127"/>
        <v>835.72323843625475</v>
      </c>
      <c r="BA40" s="7">
        <f t="shared" si="127"/>
        <v>827.36600605189221</v>
      </c>
      <c r="BB40" s="7">
        <f t="shared" si="127"/>
        <v>819.09234599137324</v>
      </c>
      <c r="BC40" s="7">
        <f t="shared" si="127"/>
        <v>810.9014225314595</v>
      </c>
      <c r="BD40" s="7">
        <f t="shared" si="127"/>
        <v>802.79240830614492</v>
      </c>
      <c r="BE40" s="7">
        <f t="shared" si="127"/>
        <v>794.76448422308351</v>
      </c>
      <c r="BF40" s="7">
        <f t="shared" si="127"/>
        <v>786.81683938085268</v>
      </c>
      <c r="BG40" s="7">
        <f t="shared" si="127"/>
        <v>778.94867098704412</v>
      </c>
      <c r="BH40" s="7">
        <f t="shared" si="127"/>
        <v>771.15918427717372</v>
      </c>
      <c r="BI40" s="7">
        <f t="shared" si="127"/>
        <v>763.44759243440194</v>
      </c>
      <c r="BJ40" s="7">
        <f t="shared" si="127"/>
        <v>755.81311651005797</v>
      </c>
      <c r="BK40" s="7">
        <f t="shared" si="127"/>
        <v>748.25498534495739</v>
      </c>
      <c r="BL40" s="7">
        <f t="shared" si="127"/>
        <v>740.77243549150785</v>
      </c>
      <c r="BM40" s="7">
        <f t="shared" si="127"/>
        <v>733.36471113659275</v>
      </c>
      <c r="BN40" s="7">
        <f t="shared" si="127"/>
        <v>726.03106402522678</v>
      </c>
      <c r="BO40" s="7">
        <f t="shared" si="127"/>
        <v>718.77075338497446</v>
      </c>
      <c r="BP40" s="7">
        <f t="shared" si="127"/>
        <v>711.58304585112467</v>
      </c>
      <c r="BQ40" s="7">
        <f t="shared" si="127"/>
        <v>704.46721539261341</v>
      </c>
      <c r="BR40" s="7">
        <f t="shared" si="127"/>
        <v>697.42254323868724</v>
      </c>
      <c r="BS40" s="7">
        <f t="shared" si="127"/>
        <v>690.44831780630034</v>
      </c>
      <c r="BT40" s="7">
        <f t="shared" si="127"/>
        <v>683.54383462823728</v>
      </c>
      <c r="BU40" s="7">
        <f t="shared" si="127"/>
        <v>676.70839628195495</v>
      </c>
      <c r="BV40" s="7">
        <f t="shared" si="127"/>
        <v>669.94131231913536</v>
      </c>
      <c r="BW40" s="7">
        <f t="shared" si="127"/>
        <v>663.24189919594403</v>
      </c>
      <c r="BX40" s="7">
        <f t="shared" si="127"/>
        <v>656.60948020398462</v>
      </c>
      <c r="BY40" s="7">
        <f t="shared" si="127"/>
        <v>650.04338540194476</v>
      </c>
      <c r="BZ40" s="7">
        <f t="shared" si="127"/>
        <v>643.54295154792533</v>
      </c>
      <c r="CA40" s="7">
        <f t="shared" si="127"/>
        <v>637.10752203244601</v>
      </c>
      <c r="CB40" s="7">
        <f t="shared" si="127"/>
        <v>630.73644681212159</v>
      </c>
      <c r="CC40" s="7">
        <f t="shared" si="127"/>
        <v>624.42908234400034</v>
      </c>
      <c r="CD40" s="7">
        <f t="shared" si="127"/>
        <v>618.18479152056034</v>
      </c>
      <c r="CE40" s="7">
        <f t="shared" si="127"/>
        <v>612.00294360535474</v>
      </c>
      <c r="CF40" s="7">
        <f t="shared" si="127"/>
        <v>605.88291416930122</v>
      </c>
      <c r="CG40" s="7">
        <f t="shared" si="127"/>
        <v>599.82408502760825</v>
      </c>
      <c r="CH40" s="7">
        <f t="shared" si="127"/>
        <v>593.82584417733221</v>
      </c>
      <c r="CI40" s="7">
        <f t="shared" si="127"/>
        <v>587.8875857355589</v>
      </c>
      <c r="CJ40" s="7">
        <f t="shared" si="127"/>
        <v>582.00870987820326</v>
      </c>
      <c r="CK40" s="7">
        <f t="shared" si="127"/>
        <v>576.18862277942128</v>
      </c>
      <c r="CL40" s="7">
        <f t="shared" si="127"/>
        <v>570.42673655162707</v>
      </c>
      <c r="CM40" s="7">
        <f t="shared" si="127"/>
        <v>564.72246918611074</v>
      </c>
      <c r="CN40" s="7">
        <f t="shared" si="127"/>
        <v>559.07524449424966</v>
      </c>
      <c r="CO40" s="7">
        <f t="shared" si="127"/>
        <v>553.48449204930716</v>
      </c>
      <c r="CP40" s="7">
        <f t="shared" si="127"/>
        <v>547.94964712881404</v>
      </c>
      <c r="CQ40" s="7">
        <f t="shared" si="127"/>
        <v>542.47015065752589</v>
      </c>
      <c r="CR40" s="7">
        <f t="shared" si="127"/>
        <v>537.04544915095062</v>
      </c>
      <c r="CS40" s="7">
        <f t="shared" si="127"/>
        <v>531.67499465944115</v>
      </c>
      <c r="CT40" s="7">
        <f t="shared" si="127"/>
        <v>526.35824471284673</v>
      </c>
      <c r="CU40" s="7">
        <f t="shared" ref="CU40:EN40" si="128">CT40*(1+$AJ$18)</f>
        <v>521.09466226571828</v>
      </c>
      <c r="CV40" s="7">
        <f t="shared" si="128"/>
        <v>515.88371564306112</v>
      </c>
      <c r="CW40" s="7">
        <f t="shared" si="128"/>
        <v>510.72487848663053</v>
      </c>
      <c r="CX40" s="7">
        <f t="shared" si="128"/>
        <v>505.6176297017642</v>
      </c>
      <c r="CY40" s="7">
        <f t="shared" si="128"/>
        <v>500.56145340474654</v>
      </c>
      <c r="CZ40" s="7">
        <f t="shared" si="128"/>
        <v>495.55583887069906</v>
      </c>
      <c r="DA40" s="7">
        <f t="shared" si="128"/>
        <v>490.60028048199206</v>
      </c>
      <c r="DB40" s="7">
        <f t="shared" si="128"/>
        <v>485.69427767717212</v>
      </c>
      <c r="DC40" s="7">
        <f t="shared" si="128"/>
        <v>480.83733490040038</v>
      </c>
      <c r="DD40" s="7">
        <f t="shared" si="128"/>
        <v>476.02896155139638</v>
      </c>
      <c r="DE40" s="7">
        <f t="shared" si="128"/>
        <v>471.26867193588242</v>
      </c>
      <c r="DF40" s="7">
        <f t="shared" si="128"/>
        <v>466.5559852165236</v>
      </c>
      <c r="DG40" s="7">
        <f t="shared" si="128"/>
        <v>461.89042536435835</v>
      </c>
      <c r="DH40" s="7">
        <f t="shared" si="128"/>
        <v>457.27152111071479</v>
      </c>
      <c r="DI40" s="7">
        <f t="shared" si="128"/>
        <v>452.69880589960763</v>
      </c>
      <c r="DJ40" s="7">
        <f t="shared" si="128"/>
        <v>448.17181784061154</v>
      </c>
      <c r="DK40" s="7">
        <f t="shared" si="128"/>
        <v>443.6900996622054</v>
      </c>
      <c r="DL40" s="7">
        <f t="shared" si="128"/>
        <v>439.25319866558334</v>
      </c>
      <c r="DM40" s="7">
        <f t="shared" si="128"/>
        <v>434.86066667892749</v>
      </c>
      <c r="DN40" s="7">
        <f t="shared" si="128"/>
        <v>430.51206001213819</v>
      </c>
      <c r="DO40" s="7">
        <f t="shared" si="128"/>
        <v>426.20693941201682</v>
      </c>
      <c r="DP40" s="7">
        <f t="shared" si="128"/>
        <v>421.94487001789668</v>
      </c>
      <c r="DQ40" s="7">
        <f t="shared" si="128"/>
        <v>417.72542131771769</v>
      </c>
      <c r="DR40" s="7">
        <f t="shared" si="128"/>
        <v>413.54816710454048</v>
      </c>
      <c r="DS40" s="7">
        <f t="shared" si="128"/>
        <v>409.41268543349508</v>
      </c>
      <c r="DT40" s="7">
        <f t="shared" si="128"/>
        <v>405.31855857916014</v>
      </c>
      <c r="DU40" s="7">
        <f t="shared" si="128"/>
        <v>401.26537299336854</v>
      </c>
      <c r="DV40" s="7">
        <f t="shared" si="128"/>
        <v>397.25271926343487</v>
      </c>
      <c r="DW40" s="7">
        <f t="shared" si="128"/>
        <v>393.28019207080052</v>
      </c>
      <c r="DX40" s="7">
        <f t="shared" si="128"/>
        <v>389.34739015009251</v>
      </c>
      <c r="DY40" s="7">
        <f t="shared" si="128"/>
        <v>385.45391624859155</v>
      </c>
      <c r="DZ40" s="7">
        <f t="shared" si="128"/>
        <v>381.59937708610562</v>
      </c>
      <c r="EA40" s="7">
        <f t="shared" si="128"/>
        <v>377.78338331524458</v>
      </c>
      <c r="EB40" s="7">
        <f t="shared" si="128"/>
        <v>374.00554948209214</v>
      </c>
      <c r="EC40" s="7">
        <f t="shared" si="128"/>
        <v>370.26549398727121</v>
      </c>
      <c r="ED40" s="7">
        <f t="shared" si="128"/>
        <v>366.56283904739848</v>
      </c>
      <c r="EE40" s="7">
        <f t="shared" si="128"/>
        <v>362.89721065692447</v>
      </c>
      <c r="EF40" s="7">
        <f t="shared" si="128"/>
        <v>359.26823855035525</v>
      </c>
      <c r="EG40" s="7">
        <f t="shared" si="128"/>
        <v>355.67555616485168</v>
      </c>
      <c r="EH40" s="7">
        <f t="shared" si="128"/>
        <v>352.11880060320317</v>
      </c>
      <c r="EI40" s="7">
        <f t="shared" si="128"/>
        <v>348.59761259717112</v>
      </c>
      <c r="EJ40" s="7">
        <f t="shared" si="128"/>
        <v>345.1116364711994</v>
      </c>
      <c r="EK40" s="7">
        <f t="shared" si="128"/>
        <v>341.66052010648741</v>
      </c>
      <c r="EL40" s="7">
        <f t="shared" si="128"/>
        <v>338.24391490542251</v>
      </c>
      <c r="EM40" s="7">
        <f t="shared" si="128"/>
        <v>334.86147575636829</v>
      </c>
      <c r="EN40" s="7">
        <f t="shared" si="128"/>
        <v>331.51286099880463</v>
      </c>
    </row>
    <row r="43" spans="2:144" x14ac:dyDescent="0.3">
      <c r="AJ43" s="11">
        <f>NPV(AJ19,W40:EN40)</f>
        <v>10524.832114414645</v>
      </c>
    </row>
    <row r="44" spans="2:144" x14ac:dyDescent="0.3">
      <c r="AJ44" s="2">
        <f>Main!D8</f>
        <v>1670.3</v>
      </c>
    </row>
    <row r="45" spans="2:144" x14ac:dyDescent="0.3">
      <c r="AJ45" s="11">
        <f>AJ43+AJ44</f>
        <v>12195.132114414644</v>
      </c>
    </row>
    <row r="46" spans="2:144" x14ac:dyDescent="0.3">
      <c r="AJ46" s="1">
        <f>AJ45/AG14</f>
        <v>74.360561673260023</v>
      </c>
    </row>
    <row r="47" spans="2:144" x14ac:dyDescent="0.3">
      <c r="AJ47" s="1">
        <f>Main!D3</f>
        <v>96.02</v>
      </c>
    </row>
    <row r="48" spans="2:144" x14ac:dyDescent="0.3">
      <c r="AJ48" s="10">
        <f>AJ46/AJ47-1</f>
        <v>-0.22557215503790851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Mniszek</dc:creator>
  <cp:lastModifiedBy>Anton Mniszek</cp:lastModifiedBy>
  <dcterms:created xsi:type="dcterms:W3CDTF">2024-07-31T11:02:31Z</dcterms:created>
  <dcterms:modified xsi:type="dcterms:W3CDTF">2025-04-04T09:10:23Z</dcterms:modified>
</cp:coreProperties>
</file>