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2F46ECAA-2EC0-4672-9FAE-236B64A131E9}" xr6:coauthVersionLast="47" xr6:coauthVersionMax="47" xr10:uidLastSave="{00000000-0000-0000-0000-000000000000}"/>
  <bookViews>
    <workbookView xWindow="-108" yWindow="-108" windowWidth="23256" windowHeight="12576" activeTab="1" xr2:uid="{575DC113-FDD0-4971-9CB8-D8C9C9B768A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" i="2" l="1"/>
  <c r="AC6" i="2" s="1"/>
  <c r="AD6" i="2" s="1"/>
  <c r="AE6" i="2" s="1"/>
  <c r="U7" i="2"/>
  <c r="V7" i="2"/>
  <c r="W7" i="2" s="1"/>
  <c r="X7" i="2" s="1"/>
  <c r="Y7" i="2" s="1"/>
  <c r="Z7" i="2" s="1"/>
  <c r="AA7" i="2" s="1"/>
  <c r="AB7" i="2" s="1"/>
  <c r="AC7" i="2" s="1"/>
  <c r="AD7" i="2" s="1"/>
  <c r="AE7" i="2" s="1"/>
  <c r="AA6" i="2"/>
  <c r="Z6" i="2"/>
  <c r="Y6" i="2"/>
  <c r="X6" i="2"/>
  <c r="W6" i="2"/>
  <c r="V6" i="2"/>
  <c r="V3" i="2"/>
  <c r="U3" i="2"/>
  <c r="N7" i="2"/>
  <c r="M5" i="2"/>
  <c r="L5" i="2"/>
  <c r="D7" i="1"/>
  <c r="D6" i="1"/>
  <c r="T3" i="2"/>
  <c r="S29" i="2"/>
  <c r="R29" i="2"/>
  <c r="Q29" i="2"/>
  <c r="K29" i="2"/>
  <c r="J29" i="2"/>
  <c r="I29" i="2"/>
  <c r="H29" i="2"/>
  <c r="G29" i="2"/>
  <c r="F29" i="2"/>
  <c r="E29" i="2"/>
  <c r="D29" i="2"/>
  <c r="C29" i="2"/>
  <c r="K5" i="2"/>
  <c r="S27" i="2"/>
  <c r="R27" i="2"/>
  <c r="Q27" i="2"/>
  <c r="J27" i="2"/>
  <c r="I27" i="2"/>
  <c r="H27" i="2"/>
  <c r="G27" i="2"/>
  <c r="F27" i="2"/>
  <c r="E27" i="2"/>
  <c r="D27" i="2"/>
  <c r="C27" i="2"/>
  <c r="AH29" i="2"/>
  <c r="S25" i="2"/>
  <c r="R25" i="2"/>
  <c r="I25" i="2"/>
  <c r="H25" i="2"/>
  <c r="M25" i="2"/>
  <c r="L25" i="2"/>
  <c r="I26" i="2"/>
  <c r="N5" i="2"/>
  <c r="N4" i="2" s="1"/>
  <c r="S23" i="2"/>
  <c r="S26" i="2"/>
  <c r="R26" i="2"/>
  <c r="R23" i="2"/>
  <c r="S24" i="2"/>
  <c r="R24" i="2"/>
  <c r="Q24" i="2"/>
  <c r="H26" i="2"/>
  <c r="W3" i="2" l="1"/>
  <c r="U5" i="2"/>
  <c r="U4" i="2" s="1"/>
  <c r="K10" i="2"/>
  <c r="K14" i="2" s="1"/>
  <c r="K17" i="2" s="1"/>
  <c r="K19" i="2" s="1"/>
  <c r="N10" i="2"/>
  <c r="U21" i="2"/>
  <c r="M10" i="2"/>
  <c r="L10" i="2"/>
  <c r="T4" i="2"/>
  <c r="T5" i="2" s="1"/>
  <c r="T21" i="2"/>
  <c r="I24" i="2"/>
  <c r="H24" i="2"/>
  <c r="E24" i="2"/>
  <c r="D24" i="2"/>
  <c r="I23" i="2"/>
  <c r="H23" i="2"/>
  <c r="R21" i="2"/>
  <c r="Q5" i="2"/>
  <c r="Q22" i="2" s="1"/>
  <c r="N22" i="2"/>
  <c r="M22" i="2"/>
  <c r="L22" i="2"/>
  <c r="K22" i="2"/>
  <c r="M21" i="2"/>
  <c r="L21" i="2"/>
  <c r="H21" i="2"/>
  <c r="D5" i="2"/>
  <c r="D10" i="2" s="1"/>
  <c r="D14" i="2" s="1"/>
  <c r="G16" i="2"/>
  <c r="J16" i="2" s="1"/>
  <c r="G13" i="2"/>
  <c r="J13" i="2" s="1"/>
  <c r="G12" i="2"/>
  <c r="G11" i="2"/>
  <c r="G9" i="2"/>
  <c r="J9" i="2" s="1"/>
  <c r="G8" i="2"/>
  <c r="J8" i="2" s="1"/>
  <c r="G4" i="2"/>
  <c r="J4" i="2" s="1"/>
  <c r="H5" i="2"/>
  <c r="H10" i="2" s="1"/>
  <c r="H14" i="2" s="1"/>
  <c r="C16" i="2"/>
  <c r="F16" i="2" s="1"/>
  <c r="C15" i="2"/>
  <c r="C13" i="2"/>
  <c r="F13" i="2" s="1"/>
  <c r="C12" i="2"/>
  <c r="C11" i="2"/>
  <c r="F11" i="2" s="1"/>
  <c r="C9" i="2"/>
  <c r="F9" i="2" s="1"/>
  <c r="C8" i="2"/>
  <c r="F8" i="2" s="1"/>
  <c r="C7" i="2"/>
  <c r="F7" i="2" s="1"/>
  <c r="C6" i="2"/>
  <c r="F6" i="2" s="1"/>
  <c r="C4" i="2"/>
  <c r="F4" i="2" s="1"/>
  <c r="C3" i="2"/>
  <c r="F3" i="2" s="1"/>
  <c r="G15" i="2"/>
  <c r="J15" i="2" s="1"/>
  <c r="G7" i="2"/>
  <c r="K25" i="2" s="1"/>
  <c r="G6" i="2"/>
  <c r="J6" i="2" s="1"/>
  <c r="E5" i="2"/>
  <c r="E10" i="2" s="1"/>
  <c r="E14" i="2" s="1"/>
  <c r="R12" i="2"/>
  <c r="S12" i="2"/>
  <c r="I21" i="2"/>
  <c r="I5" i="2"/>
  <c r="I22" i="2" s="1"/>
  <c r="S21" i="2"/>
  <c r="R5" i="2"/>
  <c r="R10" i="2" s="1"/>
  <c r="S11" i="2"/>
  <c r="S5" i="2"/>
  <c r="S22" i="2" s="1"/>
  <c r="V5" i="2" l="1"/>
  <c r="V22" i="2" s="1"/>
  <c r="X3" i="2"/>
  <c r="W5" i="2"/>
  <c r="W4" i="2" s="1"/>
  <c r="M14" i="2"/>
  <c r="M17" i="2" s="1"/>
  <c r="M27" i="2"/>
  <c r="N14" i="2"/>
  <c r="N17" i="2" s="1"/>
  <c r="N27" i="2"/>
  <c r="L14" i="2"/>
  <c r="L17" i="2" s="1"/>
  <c r="L27" i="2"/>
  <c r="K27" i="2"/>
  <c r="J23" i="2"/>
  <c r="F12" i="2"/>
  <c r="J7" i="2"/>
  <c r="G25" i="2"/>
  <c r="U22" i="2"/>
  <c r="V21" i="2"/>
  <c r="W21" i="2"/>
  <c r="H17" i="2"/>
  <c r="H19" i="2" s="1"/>
  <c r="H28" i="2"/>
  <c r="D17" i="2"/>
  <c r="D19" i="2" s="1"/>
  <c r="D28" i="2"/>
  <c r="E17" i="2"/>
  <c r="E19" i="2" s="1"/>
  <c r="E28" i="2"/>
  <c r="G23" i="2"/>
  <c r="F24" i="2"/>
  <c r="F15" i="2"/>
  <c r="T22" i="2"/>
  <c r="J26" i="2"/>
  <c r="J12" i="2"/>
  <c r="C24" i="2"/>
  <c r="J11" i="2"/>
  <c r="G26" i="2"/>
  <c r="E22" i="2"/>
  <c r="R14" i="2"/>
  <c r="Q10" i="2"/>
  <c r="Q14" i="2" s="1"/>
  <c r="H22" i="2"/>
  <c r="D22" i="2"/>
  <c r="F5" i="2"/>
  <c r="G3" i="2"/>
  <c r="C5" i="2"/>
  <c r="S10" i="2"/>
  <c r="S14" i="2" s="1"/>
  <c r="I10" i="2"/>
  <c r="R22" i="2"/>
  <c r="Y3" i="2" l="1"/>
  <c r="X5" i="2"/>
  <c r="X22" i="2" s="1"/>
  <c r="X21" i="2"/>
  <c r="M19" i="2"/>
  <c r="M29" i="2"/>
  <c r="N19" i="2"/>
  <c r="N29" i="2"/>
  <c r="L19" i="2"/>
  <c r="L29" i="2"/>
  <c r="V4" i="2"/>
  <c r="W22" i="2"/>
  <c r="J25" i="2"/>
  <c r="N25" i="2"/>
  <c r="S17" i="2"/>
  <c r="S28" i="2"/>
  <c r="Q17" i="2"/>
  <c r="Q19" i="2" s="1"/>
  <c r="Q28" i="2"/>
  <c r="R17" i="2"/>
  <c r="R19" i="2" s="1"/>
  <c r="R28" i="2"/>
  <c r="G21" i="2"/>
  <c r="G24" i="2"/>
  <c r="C10" i="2"/>
  <c r="C14" i="2" s="1"/>
  <c r="C22" i="2"/>
  <c r="G5" i="2"/>
  <c r="J3" i="2"/>
  <c r="J24" i="2" s="1"/>
  <c r="K21" i="2"/>
  <c r="F10" i="2"/>
  <c r="F14" i="2" s="1"/>
  <c r="F17" i="2" s="1"/>
  <c r="F19" i="2" s="1"/>
  <c r="F22" i="2"/>
  <c r="I14" i="2"/>
  <c r="D8" i="1"/>
  <c r="AH26" i="2" s="1"/>
  <c r="F3" i="1"/>
  <c r="D5" i="1"/>
  <c r="X4" i="2" l="1"/>
  <c r="Y21" i="2"/>
  <c r="Z3" i="2"/>
  <c r="Y5" i="2"/>
  <c r="Y4" i="2" s="1"/>
  <c r="D9" i="1"/>
  <c r="S19" i="2"/>
  <c r="F28" i="2"/>
  <c r="C17" i="2"/>
  <c r="C19" i="2" s="1"/>
  <c r="C28" i="2"/>
  <c r="I17" i="2"/>
  <c r="I19" i="2" s="1"/>
  <c r="I28" i="2"/>
  <c r="N21" i="2"/>
  <c r="J21" i="2"/>
  <c r="J5" i="2"/>
  <c r="G10" i="2"/>
  <c r="G14" i="2" s="1"/>
  <c r="G22" i="2"/>
  <c r="Y22" i="2" l="1"/>
  <c r="AA3" i="2"/>
  <c r="AA21" i="2" s="1"/>
  <c r="Z5" i="2"/>
  <c r="Z4" i="2" s="1"/>
  <c r="Z21" i="2"/>
  <c r="G17" i="2"/>
  <c r="G19" i="2" s="1"/>
  <c r="G28" i="2"/>
  <c r="J10" i="2"/>
  <c r="J14" i="2" s="1"/>
  <c r="J22" i="2"/>
  <c r="Z22" i="2" l="1"/>
  <c r="AB3" i="2"/>
  <c r="AB21" i="2" s="1"/>
  <c r="AA5" i="2"/>
  <c r="AA22" i="2" s="1"/>
  <c r="J17" i="2"/>
  <c r="J19" i="2" s="1"/>
  <c r="J28" i="2"/>
  <c r="L26" i="2"/>
  <c r="T11" i="2"/>
  <c r="T12" i="2"/>
  <c r="N28" i="2"/>
  <c r="T13" i="2"/>
  <c r="M23" i="2"/>
  <c r="K24" i="2"/>
  <c r="M28" i="2"/>
  <c r="N26" i="2"/>
  <c r="M24" i="2"/>
  <c r="T9" i="2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N24" i="2"/>
  <c r="L23" i="2"/>
  <c r="T16" i="2"/>
  <c r="N23" i="2"/>
  <c r="K23" i="2"/>
  <c r="T6" i="2"/>
  <c r="T7" i="2"/>
  <c r="L24" i="2"/>
  <c r="K28" i="2"/>
  <c r="K26" i="2"/>
  <c r="T15" i="2"/>
  <c r="L28" i="2"/>
  <c r="T8" i="2"/>
  <c r="V8" i="2" s="1"/>
  <c r="W8" i="2" s="1"/>
  <c r="X8" i="2" s="1"/>
  <c r="Y8" i="2" s="1"/>
  <c r="Z8" i="2" s="1"/>
  <c r="AA8" i="2" s="1"/>
  <c r="AB8" i="2" s="1"/>
  <c r="AC8" i="2" s="1"/>
  <c r="AD8" i="2" s="1"/>
  <c r="AE8" i="2" s="1"/>
  <c r="M26" i="2"/>
  <c r="AA4" i="2" l="1"/>
  <c r="AC3" i="2"/>
  <c r="AC21" i="2" s="1"/>
  <c r="AB5" i="2"/>
  <c r="AB4" i="2" s="1"/>
  <c r="T26" i="2"/>
  <c r="T24" i="2"/>
  <c r="T25" i="2"/>
  <c r="V23" i="2"/>
  <c r="T10" i="2"/>
  <c r="T23" i="2"/>
  <c r="U23" i="2"/>
  <c r="AB22" i="2" l="1"/>
  <c r="AD3" i="2"/>
  <c r="AD21" i="2" s="1"/>
  <c r="AC5" i="2"/>
  <c r="AC22" i="2" s="1"/>
  <c r="T14" i="2"/>
  <c r="T27" i="2"/>
  <c r="U26" i="2"/>
  <c r="V26" i="2"/>
  <c r="U25" i="2"/>
  <c r="U10" i="2"/>
  <c r="U24" i="2"/>
  <c r="W23" i="2"/>
  <c r="AC4" i="2" l="1"/>
  <c r="AE3" i="2"/>
  <c r="AE5" i="2" s="1"/>
  <c r="AD5" i="2"/>
  <c r="AD4" i="2" s="1"/>
  <c r="T17" i="2"/>
  <c r="T29" i="2" s="1"/>
  <c r="U14" i="2"/>
  <c r="U28" i="2" s="1"/>
  <c r="U27" i="2"/>
  <c r="T28" i="2"/>
  <c r="W26" i="2"/>
  <c r="V24" i="2"/>
  <c r="V25" i="2"/>
  <c r="V10" i="2"/>
  <c r="X23" i="2"/>
  <c r="AD22" i="2" l="1"/>
  <c r="AE21" i="2"/>
  <c r="AE4" i="2"/>
  <c r="T19" i="2"/>
  <c r="U17" i="2"/>
  <c r="V14" i="2"/>
  <c r="V17" i="2" s="1"/>
  <c r="V27" i="2"/>
  <c r="X26" i="2"/>
  <c r="W24" i="2"/>
  <c r="W25" i="2"/>
  <c r="W10" i="2"/>
  <c r="AE22" i="2"/>
  <c r="Y23" i="2"/>
  <c r="V29" i="2" l="1"/>
  <c r="U19" i="2"/>
  <c r="U29" i="2"/>
  <c r="V28" i="2"/>
  <c r="W14" i="2"/>
  <c r="W17" i="2" s="1"/>
  <c r="W29" i="2" s="1"/>
  <c r="W27" i="2"/>
  <c r="V19" i="2"/>
  <c r="Y26" i="2"/>
  <c r="X10" i="2"/>
  <c r="X24" i="2"/>
  <c r="X25" i="2"/>
  <c r="Z23" i="2"/>
  <c r="W28" i="2" l="1"/>
  <c r="X14" i="2"/>
  <c r="X17" i="2" s="1"/>
  <c r="X29" i="2" s="1"/>
  <c r="X27" i="2"/>
  <c r="W19" i="2"/>
  <c r="Z26" i="2"/>
  <c r="Y25" i="2"/>
  <c r="Y24" i="2"/>
  <c r="Y10" i="2"/>
  <c r="AA23" i="2"/>
  <c r="X28" i="2" l="1"/>
  <c r="Y14" i="2"/>
  <c r="Y28" i="2" s="1"/>
  <c r="Y27" i="2"/>
  <c r="X19" i="2"/>
  <c r="AA26" i="2"/>
  <c r="Z25" i="2"/>
  <c r="Z24" i="2"/>
  <c r="Z10" i="2"/>
  <c r="AB23" i="2"/>
  <c r="Y17" i="2" l="1"/>
  <c r="Z14" i="2"/>
  <c r="Z17" i="2" s="1"/>
  <c r="Z27" i="2"/>
  <c r="AB26" i="2"/>
  <c r="AA24" i="2"/>
  <c r="AA25" i="2"/>
  <c r="AA10" i="2"/>
  <c r="AC23" i="2"/>
  <c r="Y29" i="2" l="1"/>
  <c r="Z19" i="2"/>
  <c r="Z29" i="2"/>
  <c r="Y19" i="2"/>
  <c r="Z28" i="2"/>
  <c r="AA14" i="2"/>
  <c r="AA28" i="2" s="1"/>
  <c r="AA27" i="2"/>
  <c r="AC26" i="2"/>
  <c r="AB25" i="2"/>
  <c r="AB24" i="2"/>
  <c r="AB10" i="2"/>
  <c r="AE23" i="2"/>
  <c r="AD23" i="2"/>
  <c r="AA17" i="2" l="1"/>
  <c r="AA29" i="2" s="1"/>
  <c r="AB14" i="2"/>
  <c r="AB17" i="2" s="1"/>
  <c r="AB27" i="2"/>
  <c r="AE26" i="2"/>
  <c r="AD26" i="2"/>
  <c r="AC25" i="2"/>
  <c r="AC24" i="2"/>
  <c r="AC10" i="2"/>
  <c r="AB19" i="2" l="1"/>
  <c r="AB29" i="2"/>
  <c r="AA19" i="2"/>
  <c r="AB28" i="2"/>
  <c r="AC14" i="2"/>
  <c r="AC17" i="2" s="1"/>
  <c r="AC27" i="2"/>
  <c r="AD24" i="2"/>
  <c r="AD25" i="2"/>
  <c r="AD10" i="2"/>
  <c r="AC19" i="2" l="1"/>
  <c r="AC29" i="2"/>
  <c r="AC28" i="2"/>
  <c r="AD14" i="2"/>
  <c r="AD17" i="2" s="1"/>
  <c r="AD27" i="2"/>
  <c r="AE24" i="2"/>
  <c r="AE25" i="2"/>
  <c r="AE10" i="2"/>
  <c r="AD19" i="2" l="1"/>
  <c r="AD29" i="2"/>
  <c r="AD28" i="2"/>
  <c r="AE14" i="2"/>
  <c r="AE17" i="2" s="1"/>
  <c r="AE29" i="2" s="1"/>
  <c r="AE27" i="2"/>
  <c r="AE28" i="2" l="1"/>
  <c r="AE19" i="2"/>
  <c r="AF17" i="2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AH25" i="2" s="1"/>
  <c r="AH27" i="2" l="1"/>
  <c r="AH28" i="2" s="1"/>
  <c r="AH30" i="2" s="1"/>
</calcChain>
</file>

<file path=xl/sharedStrings.xml><?xml version="1.0" encoding="utf-8"?>
<sst xmlns="http://schemas.openxmlformats.org/spreadsheetml/2006/main" count="61" uniqueCount="56">
  <si>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</si>
  <si>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</si>
  <si>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</si>
  <si>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</si>
  <si>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</si>
  <si>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</si>
  <si>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</si>
  <si>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</si>
  <si>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</si>
  <si>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</si>
  <si>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</si>
  <si>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</si>
  <si>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</si>
  <si>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</si>
  <si>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</si>
  <si>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</si>
  <si>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</si>
  <si>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</si>
  <si>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</si>
  <si>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Q122</t>
  </si>
  <si>
    <t>Q222</t>
  </si>
  <si>
    <t>Q322</t>
  </si>
  <si>
    <t>Q422</t>
  </si>
  <si>
    <t>Cost of sales</t>
  </si>
  <si>
    <t>Gross profit</t>
  </si>
  <si>
    <t>R&amp;D</t>
  </si>
  <si>
    <t>S&amp;M</t>
  </si>
  <si>
    <t>G&amp;A</t>
  </si>
  <si>
    <t>D&amp;A</t>
  </si>
  <si>
    <t>Operating profit</t>
  </si>
  <si>
    <t>Interest income</t>
  </si>
  <si>
    <t>Net financial expense</t>
  </si>
  <si>
    <t>Other income</t>
  </si>
  <si>
    <t>Pretax income</t>
  </si>
  <si>
    <t>Taxes</t>
  </si>
  <si>
    <t>Net income</t>
  </si>
  <si>
    <t>EPS</t>
  </si>
  <si>
    <t>MI</t>
  </si>
  <si>
    <t>Revenue y/y</t>
  </si>
  <si>
    <t>Gross Margin</t>
  </si>
  <si>
    <t>R&amp;D y/y</t>
  </si>
  <si>
    <t>S&amp;M Margin</t>
  </si>
  <si>
    <t>G&amp;A y/y</t>
  </si>
  <si>
    <t>S&amp;M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</si>
  <si>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</si>
  <si>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</si>
  <si>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</si>
  <si>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</si>
  <si>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</si>
  <si>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</si>
  <si>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</si>
  <si>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</si>
  <si>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</si>
  <si>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Operating Margin</t>
  </si>
  <si>
    <t>Net Margin</t>
  </si>
  <si>
    <t>Heavily undervalued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</si>
</sst>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0</xdr:row>
      <xdr:rowOff>0</xdr:rowOff>
    </xdr:from>
    <xdr:to>
      <xdr:col>13</xdr:col>
      <xdr:colOff>15240</xdr:colOff>
      <xdr:row>34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917024-B558-FB27-63B4-DBA84AF7056D}"/>
            </a:ext>
          </a:extLst>
        </xdr:cNvPr>
        <xdr:cNvCxnSpPr/>
      </xdr:nvCxnSpPr>
      <xdr:spPr>
        <a:xfrm>
          <a:off x="9921240" y="0"/>
          <a:ext cx="0" cy="6294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0</xdr:row>
      <xdr:rowOff>22860</xdr:rowOff>
    </xdr:from>
    <xdr:to>
      <xdr:col>19</xdr:col>
      <xdr:colOff>30480</xdr:colOff>
      <xdr:row>35</xdr:row>
      <xdr:rowOff>106680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745B1BB-48A7-84C8-95DF-810D8E59A7CF}"/>
            </a:ext>
          </a:extLst>
        </xdr:cNvPr>
        <xdr:cNvCxnSpPr/>
      </xdr:nvCxnSpPr>
      <xdr:spPr>
        <a:xfrm>
          <a:off x="13708380" y="2286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46A3-ED04-4213-93D4-4B28AE0C1D31}">
  <dimension ref="C2:G9"/>
  <sheetViews>
    <sheetView workbookViewId="0">
      <selection activeCell="D4" sqref="D4"/>
    </sheetView>
  </sheetViews>
  <sheetFormatPr defaultRowHeight="14.4" x14ac:dyDescent="0.3"/>
  <cols>
    <col min="5" max="7" width="13.6640625" style="4" customWidth="1"/>
    <col min="8" max="8" width="14" customWidth="1"/>
  </cols>
  <sheetData>
    <row r="2" spans="3:7" x14ac:dyDescent="0.3">
      <c r="E2" s="10" t="s">
        <v>7</v>
      </c>
      <c r="F2" s="10" t="s">
        <v>8</v>
      </c>
      <c r="G2" s="10" t="s">
        <v>9</v>
      </c>
    </row>
    <row r="3" spans="3:7" x14ac:dyDescent="0.3">
      <c r="C3" t="s">
        <v>0</v>
      </c>
      <c r="D3" s="3">
        <v>1.27</v>
      </c>
      <c r="E3" s="11">
        <v>45751</v>
      </c>
      <c r="F3" s="11">
        <f ca="1">TODAY()</f>
        <v>45751</v>
      </c>
      <c r="G3" s="11">
        <v>45845</v>
      </c>
    </row>
    <row r="4" spans="3:7" x14ac:dyDescent="0.3">
      <c r="C4" t="s">
        <v>1</v>
      </c>
      <c r="D4" s="1">
        <v>74.2</v>
      </c>
      <c r="E4" s="10" t="s">
        <v>16</v>
      </c>
    </row>
    <row r="5" spans="3:7" x14ac:dyDescent="0.3">
      <c r="C5" t="s">
        <v>2</v>
      </c>
      <c r="D5" s="1">
        <f>D3*D4</f>
        <v>94.234000000000009</v>
      </c>
    </row>
    <row r="6" spans="3:7" x14ac:dyDescent="0.3">
      <c r="C6" t="s">
        <v>3</v>
      </c>
      <c r="D6" s="1">
        <f>5.8+1.5</f>
        <v>7.3</v>
      </c>
      <c r="E6" s="10" t="s">
        <v>16</v>
      </c>
    </row>
    <row r="7" spans="3:7" x14ac:dyDescent="0.3">
      <c r="C7" t="s">
        <v>4</v>
      </c>
      <c r="D7" s="1">
        <f>3.3+19.4+0.1</f>
        <v>22.8</v>
      </c>
      <c r="E7" s="10" t="s">
        <v>16</v>
      </c>
    </row>
    <row r="8" spans="3:7" x14ac:dyDescent="0.3">
      <c r="C8" t="s">
        <v>5</v>
      </c>
      <c r="D8" s="1">
        <f>D6-D7</f>
        <v>-15.5</v>
      </c>
    </row>
    <row r="9" spans="3:7" x14ac:dyDescent="0.3">
      <c r="C9" t="s">
        <v>6</v>
      </c>
      <c r="D9" s="1">
        <f>D5-D8</f>
        <v>109.73400000000001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E862-1364-4090-9585-B7E3FC123915}">
  <dimension ref="B1:EJ31"/>
  <sheetViews>
    <sheetView tabSelected="1" workbookViewId="0">
      <pane xSplit="2" ySplit="2" topLeftCell="R9" activePane="bottomRight" state="frozen"/>
      <selection pane="topRight" activeCell="C1" sqref="C1"/>
      <selection pane="bottomLeft" activeCell="A3" sqref="A3"/>
      <selection pane="bottomRight" activeCell="AH31" sqref="AH31"/>
    </sheetView>
  </sheetViews>
  <sheetFormatPr defaultRowHeight="14.4" x14ac:dyDescent="0.3"/>
  <cols>
    <col min="2" max="2" width="19.44140625" customWidth="1"/>
    <col min="3" max="6" width="10.5546875" customWidth="1"/>
    <col min="7" max="14" width="10.5546875" bestFit="1" customWidth="1"/>
    <col min="33" max="33" width="11.88671875" bestFit="1" customWidth="1"/>
    <col min="34" max="34" width="17.33203125" customWidth="1"/>
  </cols>
  <sheetData>
    <row r="1" spans="2:31" x14ac:dyDescent="0.3">
      <c r="C1" s="2">
        <v>44742</v>
      </c>
      <c r="D1" s="2">
        <v>44834</v>
      </c>
      <c r="E1" s="2">
        <v>44926</v>
      </c>
      <c r="F1" s="2">
        <v>45016</v>
      </c>
      <c r="G1" s="2">
        <v>45107</v>
      </c>
      <c r="H1" s="2">
        <v>45199</v>
      </c>
      <c r="I1" s="2">
        <v>45291</v>
      </c>
      <c r="J1" s="2">
        <v>45382</v>
      </c>
      <c r="K1" s="2">
        <v>45473</v>
      </c>
      <c r="L1" s="2">
        <v>45565</v>
      </c>
      <c r="M1" s="2">
        <v>45657</v>
      </c>
      <c r="N1" s="2">
        <v>45747</v>
      </c>
    </row>
    <row r="2" spans="2:31" x14ac:dyDescent="0.3">
      <c r="C2" s="4" t="s">
        <v>19</v>
      </c>
      <c r="D2" s="4" t="s">
        <v>20</v>
      </c>
      <c r="E2" s="4" t="s">
        <v>21</v>
      </c>
      <c r="F2" s="4" t="s">
        <v>22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Q2">
        <v>2021</v>
      </c>
      <c r="R2">
        <v>2022</v>
      </c>
      <c r="S2">
        <v>2023</v>
      </c>
      <c r="T2">
        <v>2024</v>
      </c>
      <c r="U2">
        <v>2025</v>
      </c>
      <c r="V2">
        <v>2026</v>
      </c>
      <c r="W2">
        <v>2027</v>
      </c>
      <c r="X2">
        <v>2028</v>
      </c>
      <c r="Y2">
        <v>2029</v>
      </c>
      <c r="Z2">
        <v>2030</v>
      </c>
      <c r="AA2">
        <v>2031</v>
      </c>
      <c r="AB2">
        <v>2032</v>
      </c>
      <c r="AC2">
        <v>2033</v>
      </c>
      <c r="AD2">
        <v>2034</v>
      </c>
      <c r="AE2">
        <v>2035</v>
      </c>
    </row>
    <row r="3" spans="2:31" x14ac:dyDescent="0.3">
      <c r="B3" s="5" t="s">
        <v>18</v>
      </c>
      <c r="C3" s="6">
        <f>8.6-D3-E3</f>
        <v>2.7</v>
      </c>
      <c r="D3" s="6">
        <v>2.6</v>
      </c>
      <c r="E3" s="6">
        <v>3.3</v>
      </c>
      <c r="F3" s="6">
        <f>R3-E3-D3-C3</f>
        <v>5.0000000000000009</v>
      </c>
      <c r="G3" s="6">
        <f>36.7-H3-I3</f>
        <v>5.6000000000000032</v>
      </c>
      <c r="H3" s="6">
        <v>15.5</v>
      </c>
      <c r="I3" s="6">
        <v>15.6</v>
      </c>
      <c r="J3" s="6">
        <f>S3-I3-H3-G3</f>
        <v>9.9999999999999982</v>
      </c>
      <c r="K3" s="6">
        <v>8.9</v>
      </c>
      <c r="L3" s="6">
        <v>11.9</v>
      </c>
      <c r="M3" s="6">
        <v>12.1</v>
      </c>
      <c r="N3" s="6">
        <v>14</v>
      </c>
      <c r="O3" s="5"/>
      <c r="P3" s="5"/>
      <c r="Q3" s="6">
        <v>10</v>
      </c>
      <c r="R3" s="6">
        <v>13.6</v>
      </c>
      <c r="S3" s="6">
        <v>46.7</v>
      </c>
      <c r="T3" s="6">
        <f>SUM(K3:N3)</f>
        <v>46.9</v>
      </c>
      <c r="U3" s="6">
        <f>T3*1.3</f>
        <v>60.97</v>
      </c>
      <c r="V3" s="6">
        <f>U3*1.25</f>
        <v>76.212500000000006</v>
      </c>
      <c r="W3" s="6">
        <f>V3*1.2</f>
        <v>91.454999999999998</v>
      </c>
      <c r="X3" s="6">
        <f>W3*1.15</f>
        <v>105.17325</v>
      </c>
      <c r="Y3" s="6">
        <f>X3*1.12</f>
        <v>117.79404000000001</v>
      </c>
      <c r="Z3" s="6">
        <f>Y3*1.1</f>
        <v>129.57344400000002</v>
      </c>
      <c r="AA3" s="6">
        <f>Z3*1.08</f>
        <v>139.93931952000003</v>
      </c>
      <c r="AB3" s="6">
        <f>AA3*1.06</f>
        <v>148.33567869120003</v>
      </c>
      <c r="AC3" s="6">
        <f>AB3*1.05</f>
        <v>155.75246262576005</v>
      </c>
      <c r="AD3" s="6">
        <f>AC3*1.04</f>
        <v>161.98256113079046</v>
      </c>
      <c r="AE3" s="6">
        <f>AD3*1.03</f>
        <v>166.84203796471417</v>
      </c>
    </row>
    <row r="4" spans="2:31" x14ac:dyDescent="0.3">
      <c r="B4" t="s">
        <v>23</v>
      </c>
      <c r="C4" s="1">
        <f>4.4-D4-E4</f>
        <v>1.5000000000000004</v>
      </c>
      <c r="D4" s="1">
        <v>1.4</v>
      </c>
      <c r="E4" s="1">
        <v>1.5</v>
      </c>
      <c r="F4" s="1">
        <f>R4-E4-D4-C4</f>
        <v>1</v>
      </c>
      <c r="G4" s="1">
        <f>15.7-H4-I4</f>
        <v>2.4999999999999991</v>
      </c>
      <c r="H4" s="1">
        <v>6.4</v>
      </c>
      <c r="I4" s="1">
        <v>6.8</v>
      </c>
      <c r="J4" s="1">
        <f>S4-I4-H4-G4</f>
        <v>2.4000000000000012</v>
      </c>
      <c r="K4" s="1">
        <v>5.4</v>
      </c>
      <c r="L4" s="1">
        <v>5.2</v>
      </c>
      <c r="M4" s="1">
        <v>4.3</v>
      </c>
      <c r="N4" s="1">
        <f t="shared" ref="N4" si="0">N3-N5</f>
        <v>3.92</v>
      </c>
      <c r="Q4" s="1">
        <v>4.8</v>
      </c>
      <c r="R4" s="1">
        <v>5.4</v>
      </c>
      <c r="S4" s="1">
        <v>18.100000000000001</v>
      </c>
      <c r="T4" s="1">
        <f>SUM(K4:N4)</f>
        <v>18.82</v>
      </c>
      <c r="U4" s="1">
        <f>U3-U5</f>
        <v>24.387999999999998</v>
      </c>
      <c r="V4" s="1">
        <f t="shared" ref="V4:AE4" si="1">V3-V5</f>
        <v>29.722875000000002</v>
      </c>
      <c r="W4" s="1">
        <f t="shared" si="1"/>
        <v>35.667450000000002</v>
      </c>
      <c r="X4" s="1">
        <f t="shared" si="1"/>
        <v>41.017567499999998</v>
      </c>
      <c r="Y4" s="1">
        <f t="shared" si="1"/>
        <v>45.939675600000001</v>
      </c>
      <c r="Z4" s="1">
        <f t="shared" si="1"/>
        <v>50.533643160000011</v>
      </c>
      <c r="AA4" s="1">
        <f t="shared" si="1"/>
        <v>54.576334612800011</v>
      </c>
      <c r="AB4" s="1">
        <f t="shared" si="1"/>
        <v>57.850914689568015</v>
      </c>
      <c r="AC4" s="1">
        <f t="shared" si="1"/>
        <v>60.743460424046418</v>
      </c>
      <c r="AD4" s="1">
        <f t="shared" si="1"/>
        <v>63.173198841008286</v>
      </c>
      <c r="AE4" s="1">
        <f t="shared" si="1"/>
        <v>65.06839480623853</v>
      </c>
    </row>
    <row r="5" spans="2:31" x14ac:dyDescent="0.3">
      <c r="B5" s="5" t="s">
        <v>24</v>
      </c>
      <c r="C5" s="6">
        <f t="shared" ref="C5:M5" si="2">C3-C4</f>
        <v>1.1999999999999997</v>
      </c>
      <c r="D5" s="6">
        <f t="shared" si="2"/>
        <v>1.2000000000000002</v>
      </c>
      <c r="E5" s="6">
        <f t="shared" si="2"/>
        <v>1.7999999999999998</v>
      </c>
      <c r="F5" s="6">
        <f t="shared" si="2"/>
        <v>4.0000000000000009</v>
      </c>
      <c r="G5" s="6">
        <f t="shared" si="2"/>
        <v>3.1000000000000041</v>
      </c>
      <c r="H5" s="6">
        <f t="shared" si="2"/>
        <v>9.1</v>
      </c>
      <c r="I5" s="6">
        <f t="shared" si="2"/>
        <v>8.8000000000000007</v>
      </c>
      <c r="J5" s="6">
        <f t="shared" si="2"/>
        <v>7.599999999999997</v>
      </c>
      <c r="K5" s="6">
        <f t="shared" si="2"/>
        <v>3.5</v>
      </c>
      <c r="L5" s="6">
        <f t="shared" si="2"/>
        <v>6.7</v>
      </c>
      <c r="M5" s="6">
        <f t="shared" si="2"/>
        <v>7.8</v>
      </c>
      <c r="N5" s="6">
        <f>N3*0.72</f>
        <v>10.08</v>
      </c>
      <c r="O5" s="5"/>
      <c r="P5" s="5"/>
      <c r="Q5" s="6">
        <f>Q3-Q4</f>
        <v>5.2</v>
      </c>
      <c r="R5" s="6">
        <f>R3-R4</f>
        <v>8.1999999999999993</v>
      </c>
      <c r="S5" s="6">
        <f>S3-S4</f>
        <v>28.6</v>
      </c>
      <c r="T5" s="6">
        <f>T3-T4</f>
        <v>28.08</v>
      </c>
      <c r="U5" s="6">
        <f>U3*0.6</f>
        <v>36.582000000000001</v>
      </c>
      <c r="V5" s="6">
        <f>V3*0.61</f>
        <v>46.489625000000004</v>
      </c>
      <c r="W5" s="6">
        <f t="shared" ref="W5:AE5" si="3">W3*0.61</f>
        <v>55.787549999999996</v>
      </c>
      <c r="X5" s="6">
        <f t="shared" si="3"/>
        <v>64.155682499999998</v>
      </c>
      <c r="Y5" s="6">
        <f t="shared" si="3"/>
        <v>71.854364400000009</v>
      </c>
      <c r="Z5" s="6">
        <f t="shared" si="3"/>
        <v>79.039800840000012</v>
      </c>
      <c r="AA5" s="6">
        <f t="shared" si="3"/>
        <v>85.362984907200016</v>
      </c>
      <c r="AB5" s="6">
        <f t="shared" si="3"/>
        <v>90.484764001632016</v>
      </c>
      <c r="AC5" s="6">
        <f t="shared" si="3"/>
        <v>95.009002201713628</v>
      </c>
      <c r="AD5" s="6">
        <f t="shared" si="3"/>
        <v>98.809362289782172</v>
      </c>
      <c r="AE5" s="6">
        <f t="shared" si="3"/>
        <v>101.77364315847564</v>
      </c>
    </row>
    <row r="6" spans="2:31" x14ac:dyDescent="0.3">
      <c r="B6" t="s">
        <v>25</v>
      </c>
      <c r="C6" s="1">
        <f>1.8-D6-E6</f>
        <v>0.70000000000000018</v>
      </c>
      <c r="D6" s="1">
        <v>0.6</v>
      </c>
      <c r="E6" s="1">
        <v>0.5</v>
      </c>
      <c r="F6" s="1">
        <f>R6-E6-D6-C6</f>
        <v>0.89999999999999991</v>
      </c>
      <c r="G6" s="1">
        <f>3.1-H6-I6</f>
        <v>0.60000000000000009</v>
      </c>
      <c r="H6" s="1">
        <v>0.6</v>
      </c>
      <c r="I6" s="1">
        <v>1.9</v>
      </c>
      <c r="J6" s="1">
        <f>S6-I6-H6-G6</f>
        <v>1.9</v>
      </c>
      <c r="K6" s="1">
        <v>1.8</v>
      </c>
      <c r="L6" s="1">
        <v>1.5</v>
      </c>
      <c r="M6" s="1">
        <v>0.2</v>
      </c>
      <c r="N6" s="1">
        <v>0.4</v>
      </c>
      <c r="Q6" s="1">
        <v>1.3</v>
      </c>
      <c r="R6" s="1">
        <v>2.7</v>
      </c>
      <c r="S6" s="1">
        <v>5</v>
      </c>
      <c r="T6" s="1">
        <f>SUM(K6:N6)</f>
        <v>3.9</v>
      </c>
      <c r="U6" s="1">
        <v>2</v>
      </c>
      <c r="V6" s="1">
        <f>U6*1.8</f>
        <v>3.6</v>
      </c>
      <c r="W6" s="1">
        <f>V6*1.5</f>
        <v>5.4</v>
      </c>
      <c r="X6" s="1">
        <f>W6*1.3</f>
        <v>7.0200000000000005</v>
      </c>
      <c r="Y6" s="1">
        <f>X6*1.2</f>
        <v>8.4239999999999995</v>
      </c>
      <c r="Z6" s="1">
        <f>Y6*1.1</f>
        <v>9.2664000000000009</v>
      </c>
      <c r="AA6" s="1">
        <f>Z6*1.05</f>
        <v>9.7297200000000021</v>
      </c>
      <c r="AB6" s="1">
        <f>AA6*1.1</f>
        <v>10.702692000000003</v>
      </c>
      <c r="AC6" s="1">
        <f t="shared" ref="AC6:AE6" si="4">AB6*1.01</f>
        <v>10.809718920000003</v>
      </c>
      <c r="AD6" s="1">
        <f t="shared" si="4"/>
        <v>10.917816109200004</v>
      </c>
      <c r="AE6" s="1">
        <f t="shared" si="4"/>
        <v>11.026994270292004</v>
      </c>
    </row>
    <row r="7" spans="2:31" x14ac:dyDescent="0.3">
      <c r="B7" t="s">
        <v>26</v>
      </c>
      <c r="C7" s="1">
        <f>7.3-D7-E7</f>
        <v>1.9999999999999996</v>
      </c>
      <c r="D7" s="1">
        <v>2.2000000000000002</v>
      </c>
      <c r="E7" s="1">
        <v>3.1</v>
      </c>
      <c r="F7" s="1">
        <f>R7-E7-D7-C7</f>
        <v>3.4</v>
      </c>
      <c r="G7" s="1">
        <f>24.7-H7-I7</f>
        <v>3.5</v>
      </c>
      <c r="H7" s="1">
        <v>10.1</v>
      </c>
      <c r="I7" s="1">
        <v>11.1</v>
      </c>
      <c r="J7" s="1">
        <f>S7-I7-H7-G7</f>
        <v>8.5000000000000018</v>
      </c>
      <c r="K7" s="1">
        <v>5.8</v>
      </c>
      <c r="L7" s="1">
        <v>8.1</v>
      </c>
      <c r="M7" s="1">
        <v>7.7</v>
      </c>
      <c r="N7" s="1">
        <f>N3*0.61</f>
        <v>8.5399999999999991</v>
      </c>
      <c r="Q7" s="1">
        <v>7.1</v>
      </c>
      <c r="R7" s="1">
        <v>10.7</v>
      </c>
      <c r="S7" s="1">
        <v>33.200000000000003</v>
      </c>
      <c r="T7" s="1">
        <f>SUM(K7:N7)</f>
        <v>30.139999999999997</v>
      </c>
      <c r="U7" s="1">
        <f>T7*0.5</f>
        <v>15.069999999999999</v>
      </c>
      <c r="V7" s="1">
        <f>U7*1.05</f>
        <v>15.823499999999999</v>
      </c>
      <c r="W7" s="1">
        <f>V7*1.02</f>
        <v>16.139969999999998</v>
      </c>
      <c r="X7" s="1">
        <f>W7*1.01</f>
        <v>16.301369699999999</v>
      </c>
      <c r="Y7" s="1">
        <f t="shared" ref="Y7:AE8" si="5">X7*1.01</f>
        <v>16.464383396999999</v>
      </c>
      <c r="Z7" s="1">
        <f t="shared" si="5"/>
        <v>16.629027230969999</v>
      </c>
      <c r="AA7" s="1">
        <f t="shared" si="5"/>
        <v>16.795317503279698</v>
      </c>
      <c r="AB7" s="1">
        <f t="shared" si="5"/>
        <v>16.963270678312494</v>
      </c>
      <c r="AC7" s="1">
        <f t="shared" si="5"/>
        <v>17.13290338509562</v>
      </c>
      <c r="AD7" s="1">
        <f t="shared" si="5"/>
        <v>17.304232418946576</v>
      </c>
      <c r="AE7" s="1">
        <f t="shared" si="5"/>
        <v>17.477274743136043</v>
      </c>
    </row>
    <row r="8" spans="2:31" x14ac:dyDescent="0.3">
      <c r="B8" t="s">
        <v>27</v>
      </c>
      <c r="C8" s="1">
        <f>2-D8-E8</f>
        <v>0.4</v>
      </c>
      <c r="D8" s="1">
        <v>0.7</v>
      </c>
      <c r="E8" s="1">
        <v>0.9</v>
      </c>
      <c r="F8" s="1">
        <f>R8-E8-D8-C8</f>
        <v>2.6</v>
      </c>
      <c r="G8" s="1">
        <f>34.9-H8-I8</f>
        <v>2.5999999999999979</v>
      </c>
      <c r="H8" s="1">
        <v>5.6</v>
      </c>
      <c r="I8" s="1">
        <v>26.7</v>
      </c>
      <c r="J8" s="1">
        <f>S8-I8-H8-G8</f>
        <v>31.000000000000004</v>
      </c>
      <c r="K8" s="1">
        <v>25.8</v>
      </c>
      <c r="L8" s="1">
        <v>20.399999999999999</v>
      </c>
      <c r="M8" s="1">
        <v>2.8</v>
      </c>
      <c r="N8" s="1">
        <v>3.5</v>
      </c>
      <c r="Q8" s="1">
        <v>1.6</v>
      </c>
      <c r="R8" s="1">
        <v>4.5999999999999996</v>
      </c>
      <c r="S8" s="1">
        <v>65.900000000000006</v>
      </c>
      <c r="T8" s="1">
        <f>SUM(K8:N8)</f>
        <v>52.5</v>
      </c>
      <c r="U8" s="1">
        <v>15</v>
      </c>
      <c r="V8" s="1">
        <f>U8*1.03</f>
        <v>15.450000000000001</v>
      </c>
      <c r="W8" s="1">
        <f>V8*1.02</f>
        <v>15.759000000000002</v>
      </c>
      <c r="X8" s="1">
        <f>W8*1.02</f>
        <v>16.074180000000002</v>
      </c>
      <c r="Y8" s="1">
        <f>X8*1.01</f>
        <v>16.234921800000002</v>
      </c>
      <c r="Z8" s="1">
        <f t="shared" si="5"/>
        <v>16.397271018000001</v>
      </c>
      <c r="AA8" s="1">
        <f t="shared" si="5"/>
        <v>16.561243728180003</v>
      </c>
      <c r="AB8" s="1">
        <f t="shared" si="5"/>
        <v>16.726856165461804</v>
      </c>
      <c r="AC8" s="1">
        <f t="shared" si="5"/>
        <v>16.894124727116424</v>
      </c>
      <c r="AD8" s="1">
        <f t="shared" si="5"/>
        <v>17.063065974387587</v>
      </c>
      <c r="AE8" s="1">
        <f t="shared" si="5"/>
        <v>17.233696634131462</v>
      </c>
    </row>
    <row r="9" spans="2:31" x14ac:dyDescent="0.3">
      <c r="B9" t="s">
        <v>28</v>
      </c>
      <c r="C9" s="1">
        <f>1.3-D9-E9</f>
        <v>0.4</v>
      </c>
      <c r="D9" s="1">
        <v>0.4</v>
      </c>
      <c r="E9" s="1">
        <v>0.5</v>
      </c>
      <c r="F9" s="1">
        <f>R9-E9-D9-C9</f>
        <v>0.30000000000000004</v>
      </c>
      <c r="G9" s="1">
        <f>1.2-H9-I9</f>
        <v>0.29999999999999993</v>
      </c>
      <c r="H9" s="1">
        <v>0.4</v>
      </c>
      <c r="I9" s="1">
        <v>0.5</v>
      </c>
      <c r="J9" s="1">
        <f>S9-I9-H9-G9</f>
        <v>1.0000000000000004</v>
      </c>
      <c r="K9" s="1">
        <v>0.5</v>
      </c>
      <c r="L9" s="1">
        <v>0.2</v>
      </c>
      <c r="M9" s="1">
        <v>0.3</v>
      </c>
      <c r="N9" s="1">
        <v>1</v>
      </c>
      <c r="Q9" s="1">
        <v>1.4</v>
      </c>
      <c r="R9" s="1">
        <v>1.6</v>
      </c>
      <c r="S9" s="1">
        <v>2.2000000000000002</v>
      </c>
      <c r="T9" s="1">
        <f>SUM(K9:N9)</f>
        <v>2</v>
      </c>
      <c r="U9" s="1">
        <f>T9*1.2</f>
        <v>2.4</v>
      </c>
      <c r="V9" s="1">
        <f t="shared" ref="V9:Y9" si="6">U9*1.2</f>
        <v>2.88</v>
      </c>
      <c r="W9" s="1">
        <f t="shared" si="6"/>
        <v>3.456</v>
      </c>
      <c r="X9" s="1">
        <f t="shared" si="6"/>
        <v>4.1471999999999998</v>
      </c>
      <c r="Y9" s="1">
        <f t="shared" si="6"/>
        <v>4.9766399999999997</v>
      </c>
      <c r="Z9" s="1">
        <f>Y9*1.02</f>
        <v>5.0761728000000002</v>
      </c>
      <c r="AA9" s="1">
        <f t="shared" ref="AA9:AE9" si="7">Z9*1.02</f>
        <v>5.1776962559999999</v>
      </c>
      <c r="AB9" s="1">
        <f t="shared" si="7"/>
        <v>5.2812501811199999</v>
      </c>
      <c r="AC9" s="1">
        <f t="shared" si="7"/>
        <v>5.3868751847423999</v>
      </c>
      <c r="AD9" s="1">
        <f t="shared" si="7"/>
        <v>5.4946126884372477</v>
      </c>
      <c r="AE9" s="1">
        <f t="shared" si="7"/>
        <v>5.6045049422059927</v>
      </c>
    </row>
    <row r="10" spans="2:31" x14ac:dyDescent="0.3">
      <c r="B10" s="5" t="s">
        <v>29</v>
      </c>
      <c r="C10" s="6">
        <f t="shared" ref="C10:J10" si="8">C5-C6-C7-C8-C9</f>
        <v>-2.2999999999999998</v>
      </c>
      <c r="D10" s="6">
        <f t="shared" si="8"/>
        <v>-2.6999999999999997</v>
      </c>
      <c r="E10" s="6">
        <f t="shared" si="8"/>
        <v>-3.2</v>
      </c>
      <c r="F10" s="6">
        <f t="shared" si="8"/>
        <v>-3.1999999999999993</v>
      </c>
      <c r="G10" s="6">
        <f t="shared" si="8"/>
        <v>-3.8999999999999937</v>
      </c>
      <c r="H10" s="6">
        <f t="shared" si="8"/>
        <v>-7.6</v>
      </c>
      <c r="I10" s="6">
        <f t="shared" si="8"/>
        <v>-31.4</v>
      </c>
      <c r="J10" s="6">
        <f t="shared" si="8"/>
        <v>-34.800000000000011</v>
      </c>
      <c r="K10" s="6">
        <f t="shared" ref="K10:N10" si="9">K5-K6-K7-K8-K9</f>
        <v>-30.4</v>
      </c>
      <c r="L10" s="6">
        <f t="shared" si="9"/>
        <v>-23.499999999999996</v>
      </c>
      <c r="M10" s="6">
        <f t="shared" si="9"/>
        <v>-3.2</v>
      </c>
      <c r="N10" s="6">
        <f t="shared" si="9"/>
        <v>-3.3599999999999994</v>
      </c>
      <c r="O10" s="5"/>
      <c r="P10" s="5"/>
      <c r="Q10" s="6">
        <f>Q5-Q6-Q7-Q8-Q9</f>
        <v>-6.1999999999999993</v>
      </c>
      <c r="R10" s="6">
        <f>R5-R6-R7-R8-R9</f>
        <v>-11.4</v>
      </c>
      <c r="S10" s="6">
        <f>S5-S6-S7-S8-S9</f>
        <v>-77.7</v>
      </c>
      <c r="T10" s="6">
        <f>T5-T6-T7-T8-T9</f>
        <v>-60.459999999999994</v>
      </c>
      <c r="U10" s="6">
        <f t="shared" ref="U10:AE10" si="10">U5-U6-U7-U8-U9</f>
        <v>2.1120000000000005</v>
      </c>
      <c r="V10" s="6">
        <f t="shared" si="10"/>
        <v>8.7361250000000013</v>
      </c>
      <c r="W10" s="6">
        <f t="shared" si="10"/>
        <v>15.032579999999999</v>
      </c>
      <c r="X10" s="6">
        <f t="shared" si="10"/>
        <v>20.612932799999989</v>
      </c>
      <c r="Y10" s="6">
        <f t="shared" si="10"/>
        <v>25.754419203000008</v>
      </c>
      <c r="Z10" s="6">
        <f t="shared" si="10"/>
        <v>31.670929791030012</v>
      </c>
      <c r="AA10" s="6">
        <f t="shared" si="10"/>
        <v>37.099007419740317</v>
      </c>
      <c r="AB10" s="6">
        <f t="shared" si="10"/>
        <v>40.810694976737715</v>
      </c>
      <c r="AC10" s="6">
        <f t="shared" si="10"/>
        <v>44.785379984759182</v>
      </c>
      <c r="AD10" s="6">
        <f t="shared" si="10"/>
        <v>48.029635098810751</v>
      </c>
      <c r="AE10" s="6">
        <f t="shared" si="10"/>
        <v>50.431172568710124</v>
      </c>
    </row>
    <row r="11" spans="2:31" x14ac:dyDescent="0.3">
      <c r="B11" t="s">
        <v>30</v>
      </c>
      <c r="C11" s="1">
        <f>0.6-D11-E11</f>
        <v>0</v>
      </c>
      <c r="D11" s="1">
        <v>0.2</v>
      </c>
      <c r="E11" s="1">
        <v>0.4</v>
      </c>
      <c r="F11" s="1">
        <f>R11-E11-D11-C11</f>
        <v>0.2</v>
      </c>
      <c r="G11" s="1">
        <f>1.6-H11-I11</f>
        <v>0.30000000000000004</v>
      </c>
      <c r="H11" s="1">
        <v>0.6</v>
      </c>
      <c r="I11" s="1">
        <v>0.7</v>
      </c>
      <c r="J11" s="1">
        <f>S11-I11-H11-G11</f>
        <v>20.2</v>
      </c>
      <c r="K11" s="1">
        <v>0.8</v>
      </c>
      <c r="L11" s="1">
        <v>0.6</v>
      </c>
      <c r="M11" s="1">
        <v>1.1000000000000001</v>
      </c>
      <c r="N11" s="1">
        <v>0</v>
      </c>
      <c r="Q11" s="1">
        <v>0</v>
      </c>
      <c r="R11" s="1">
        <v>0.8</v>
      </c>
      <c r="S11" s="1">
        <f>2.3+19.5</f>
        <v>21.8</v>
      </c>
      <c r="T11" s="1">
        <f>SUM(K11:N11)</f>
        <v>2.5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2:31" x14ac:dyDescent="0.3">
      <c r="B12" t="s">
        <v>31</v>
      </c>
      <c r="C12" s="1">
        <f>1-D12-E12</f>
        <v>0.29999999999999982</v>
      </c>
      <c r="D12" s="1">
        <v>4.7</v>
      </c>
      <c r="E12" s="1">
        <v>-4</v>
      </c>
      <c r="F12" s="1">
        <f>R12-E12-D12-C12</f>
        <v>0.90000000000000036</v>
      </c>
      <c r="G12" s="1">
        <f>22.4-H12-I12</f>
        <v>-2.886579864025407E-15</v>
      </c>
      <c r="H12" s="1">
        <v>23.6</v>
      </c>
      <c r="I12" s="1">
        <v>-1.2</v>
      </c>
      <c r="J12" s="1">
        <f>S12-I12-H12-G12</f>
        <v>-21.099999999999998</v>
      </c>
      <c r="K12" s="1">
        <v>17.2</v>
      </c>
      <c r="L12" s="1">
        <v>1.1000000000000001</v>
      </c>
      <c r="M12" s="1">
        <v>-1.7</v>
      </c>
      <c r="N12" s="1">
        <v>0</v>
      </c>
      <c r="Q12" s="1">
        <v>3.4</v>
      </c>
      <c r="R12" s="1">
        <f>1+0.9</f>
        <v>1.9</v>
      </c>
      <c r="S12" s="1">
        <f>-2.1+3.4</f>
        <v>1.2999999999999998</v>
      </c>
      <c r="T12" s="1">
        <f>SUM(K12:N12)</f>
        <v>16.600000000000001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2:31" x14ac:dyDescent="0.3">
      <c r="B13" t="s">
        <v>32</v>
      </c>
      <c r="C13" s="1">
        <f>D13-E13</f>
        <v>-0.1</v>
      </c>
      <c r="D13" s="1">
        <v>0</v>
      </c>
      <c r="E13" s="1">
        <v>0.1</v>
      </c>
      <c r="F13" s="1">
        <f>R13-E13-D13-C13</f>
        <v>0</v>
      </c>
      <c r="G13" s="1">
        <f>-0.8-H13-I13</f>
        <v>-0.10000000000000006</v>
      </c>
      <c r="H13" s="1">
        <v>-0.6</v>
      </c>
      <c r="I13" s="1">
        <v>-0.1</v>
      </c>
      <c r="J13" s="1">
        <f>S13-I13-H13-G13</f>
        <v>0</v>
      </c>
      <c r="K13" s="1">
        <v>0</v>
      </c>
      <c r="L13" s="1">
        <v>-3.3</v>
      </c>
      <c r="M13" s="1">
        <v>0.1</v>
      </c>
      <c r="N13" s="1">
        <v>0</v>
      </c>
      <c r="Q13" s="1">
        <v>0.1</v>
      </c>
      <c r="R13" s="1">
        <v>0</v>
      </c>
      <c r="S13" s="1">
        <v>-0.8</v>
      </c>
      <c r="T13" s="1">
        <f>SUM(K13:N13)</f>
        <v>-3.1999999999999997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2:31" x14ac:dyDescent="0.3">
      <c r="B14" s="5" t="s">
        <v>33</v>
      </c>
      <c r="C14" s="6">
        <f t="shared" ref="C14:J14" si="11">C10-C11-C12--C13</f>
        <v>-2.6999999999999997</v>
      </c>
      <c r="D14" s="6">
        <f t="shared" si="11"/>
        <v>-7.6</v>
      </c>
      <c r="E14" s="6">
        <f t="shared" si="11"/>
        <v>0.49999999999999989</v>
      </c>
      <c r="F14" s="6">
        <f t="shared" si="11"/>
        <v>-4.3</v>
      </c>
      <c r="G14" s="6">
        <f t="shared" si="11"/>
        <v>-4.2999999999999909</v>
      </c>
      <c r="H14" s="6">
        <f t="shared" si="11"/>
        <v>-32.4</v>
      </c>
      <c r="I14" s="6">
        <f t="shared" si="11"/>
        <v>-31.000000000000004</v>
      </c>
      <c r="J14" s="6">
        <f t="shared" si="11"/>
        <v>-33.90000000000002</v>
      </c>
      <c r="K14" s="6">
        <f t="shared" ref="K14:N14" si="12">K10-K11-K12--K13</f>
        <v>-48.4</v>
      </c>
      <c r="L14" s="6">
        <f t="shared" si="12"/>
        <v>-28.5</v>
      </c>
      <c r="M14" s="6">
        <f t="shared" si="12"/>
        <v>-2.5000000000000004</v>
      </c>
      <c r="N14" s="6">
        <f t="shared" si="12"/>
        <v>-3.3599999999999994</v>
      </c>
      <c r="O14" s="5"/>
      <c r="P14" s="5"/>
      <c r="Q14" s="6">
        <f>Q10-Q11-Q12-Q13</f>
        <v>-9.6999999999999993</v>
      </c>
      <c r="R14" s="6">
        <f>R10-R11-R12-R13</f>
        <v>-14.100000000000001</v>
      </c>
      <c r="S14" s="6">
        <f>S10-S11-S12-S13</f>
        <v>-100</v>
      </c>
      <c r="T14" s="6">
        <f>T10-T11-T12-T13</f>
        <v>-76.36</v>
      </c>
      <c r="U14" s="6">
        <f t="shared" ref="U14:AE14" si="13">U10-U11-U12--U13</f>
        <v>2.1120000000000005</v>
      </c>
      <c r="V14" s="6">
        <f t="shared" si="13"/>
        <v>8.7361250000000013</v>
      </c>
      <c r="W14" s="6">
        <f t="shared" si="13"/>
        <v>15.032579999999999</v>
      </c>
      <c r="X14" s="6">
        <f t="shared" si="13"/>
        <v>20.612932799999989</v>
      </c>
      <c r="Y14" s="6">
        <f t="shared" si="13"/>
        <v>25.754419203000008</v>
      </c>
      <c r="Z14" s="6">
        <f t="shared" si="13"/>
        <v>31.670929791030012</v>
      </c>
      <c r="AA14" s="6">
        <f t="shared" si="13"/>
        <v>37.099007419740317</v>
      </c>
      <c r="AB14" s="6">
        <f t="shared" si="13"/>
        <v>40.810694976737715</v>
      </c>
      <c r="AC14" s="6">
        <f t="shared" si="13"/>
        <v>44.785379984759182</v>
      </c>
      <c r="AD14" s="6">
        <f t="shared" si="13"/>
        <v>48.029635098810751</v>
      </c>
      <c r="AE14" s="6">
        <f t="shared" si="13"/>
        <v>50.431172568710124</v>
      </c>
    </row>
    <row r="15" spans="2:31" x14ac:dyDescent="0.3">
      <c r="B15" t="s">
        <v>34</v>
      </c>
      <c r="C15" s="1">
        <f>-0.1-D15-E15</f>
        <v>-0.1</v>
      </c>
      <c r="D15" s="1">
        <v>0</v>
      </c>
      <c r="E15" s="1">
        <v>0</v>
      </c>
      <c r="F15" s="1">
        <f>R15-E15-D15-C15</f>
        <v>0.1</v>
      </c>
      <c r="G15" s="1">
        <f>-0.1-H15-I15</f>
        <v>0</v>
      </c>
      <c r="H15" s="1">
        <v>0</v>
      </c>
      <c r="I15" s="1">
        <v>-0.1</v>
      </c>
      <c r="J15" s="1">
        <f>S15-I15-H15-G15</f>
        <v>0.1</v>
      </c>
      <c r="K15" s="1">
        <v>0.1</v>
      </c>
      <c r="L15" s="1">
        <v>-0.2</v>
      </c>
      <c r="M15" s="1">
        <v>0</v>
      </c>
      <c r="N15" s="1">
        <v>0</v>
      </c>
      <c r="Q15" s="1">
        <v>0</v>
      </c>
      <c r="R15" s="1">
        <v>0</v>
      </c>
      <c r="S15" s="1">
        <v>0</v>
      </c>
      <c r="T15" s="1">
        <f>SUM(K15:N15)</f>
        <v>-0.1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2:31" x14ac:dyDescent="0.3">
      <c r="B16" t="s">
        <v>37</v>
      </c>
      <c r="C16" s="1">
        <f>-0.2-D16-E16</f>
        <v>-0.1</v>
      </c>
      <c r="D16" s="1">
        <v>0</v>
      </c>
      <c r="E16" s="1">
        <v>-0.1</v>
      </c>
      <c r="F16" s="1">
        <f>R16-E16-D16-C16</f>
        <v>0</v>
      </c>
      <c r="G16" s="1">
        <f>-0.1-H16-I16</f>
        <v>-0.1</v>
      </c>
      <c r="H16" s="1">
        <v>0</v>
      </c>
      <c r="I16" s="1">
        <v>0</v>
      </c>
      <c r="J16" s="1">
        <f>S16-I16-H16-G16</f>
        <v>-0.1</v>
      </c>
      <c r="K16" s="1">
        <v>0</v>
      </c>
      <c r="L16" s="1">
        <v>0</v>
      </c>
      <c r="M16" s="1">
        <v>-0.1</v>
      </c>
      <c r="N16" s="1">
        <v>0</v>
      </c>
      <c r="Q16" s="1">
        <v>-0.1</v>
      </c>
      <c r="R16" s="1">
        <v>-0.2</v>
      </c>
      <c r="S16" s="1">
        <v>-0.2</v>
      </c>
      <c r="T16" s="1">
        <f>SUM(K16:N16)</f>
        <v>-0.1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2:140" x14ac:dyDescent="0.3">
      <c r="B17" s="5" t="s">
        <v>35</v>
      </c>
      <c r="C17" s="6">
        <f t="shared" ref="C17:J17" si="14">C14-C15-C16</f>
        <v>-2.4999999999999996</v>
      </c>
      <c r="D17" s="6">
        <f t="shared" si="14"/>
        <v>-7.6</v>
      </c>
      <c r="E17" s="6">
        <f t="shared" si="14"/>
        <v>0.59999999999999987</v>
      </c>
      <c r="F17" s="6">
        <f t="shared" si="14"/>
        <v>-4.3999999999999995</v>
      </c>
      <c r="G17" s="6">
        <f t="shared" si="14"/>
        <v>-4.1999999999999913</v>
      </c>
      <c r="H17" s="6">
        <f t="shared" si="14"/>
        <v>-32.4</v>
      </c>
      <c r="I17" s="6">
        <f t="shared" si="14"/>
        <v>-30.900000000000002</v>
      </c>
      <c r="J17" s="6">
        <f t="shared" si="14"/>
        <v>-33.90000000000002</v>
      </c>
      <c r="K17" s="6">
        <f t="shared" ref="K17:N17" si="15">K14-K15-K16</f>
        <v>-48.5</v>
      </c>
      <c r="L17" s="6">
        <f t="shared" si="15"/>
        <v>-28.3</v>
      </c>
      <c r="M17" s="6">
        <f t="shared" si="15"/>
        <v>-2.4000000000000004</v>
      </c>
      <c r="N17" s="6">
        <f t="shared" si="15"/>
        <v>-3.3599999999999994</v>
      </c>
      <c r="O17" s="5"/>
      <c r="P17" s="5"/>
      <c r="Q17" s="6">
        <f>Q14-Q15-Q16</f>
        <v>-9.6</v>
      </c>
      <c r="R17" s="6">
        <f>R14-R15-R16</f>
        <v>-13.900000000000002</v>
      </c>
      <c r="S17" s="6">
        <f>S14-S15-S16</f>
        <v>-99.8</v>
      </c>
      <c r="T17" s="6">
        <f>T14-T15-T16</f>
        <v>-76.160000000000011</v>
      </c>
      <c r="U17" s="6">
        <f t="shared" ref="U17:AE17" si="16">U14-U15-U16</f>
        <v>2.1120000000000005</v>
      </c>
      <c r="V17" s="6">
        <f t="shared" si="16"/>
        <v>8.7361250000000013</v>
      </c>
      <c r="W17" s="6">
        <f t="shared" si="16"/>
        <v>15.032579999999999</v>
      </c>
      <c r="X17" s="6">
        <f t="shared" si="16"/>
        <v>20.612932799999989</v>
      </c>
      <c r="Y17" s="6">
        <f t="shared" si="16"/>
        <v>25.754419203000008</v>
      </c>
      <c r="Z17" s="6">
        <f t="shared" si="16"/>
        <v>31.670929791030012</v>
      </c>
      <c r="AA17" s="6">
        <f t="shared" si="16"/>
        <v>37.099007419740317</v>
      </c>
      <c r="AB17" s="6">
        <f t="shared" si="16"/>
        <v>40.810694976737715</v>
      </c>
      <c r="AC17" s="6">
        <f t="shared" si="16"/>
        <v>44.785379984759182</v>
      </c>
      <c r="AD17" s="6">
        <f t="shared" si="16"/>
        <v>48.029635098810751</v>
      </c>
      <c r="AE17" s="6">
        <f t="shared" si="16"/>
        <v>50.431172568710124</v>
      </c>
      <c r="AF17" s="6">
        <f>AE17*(1+$AH$23)</f>
        <v>49.926860843023022</v>
      </c>
      <c r="AG17" s="6">
        <f t="shared" ref="AG17:CR17" si="17">AF17*(1+$AH$23)</f>
        <v>49.427592234592794</v>
      </c>
      <c r="AH17" s="6">
        <f t="shared" si="17"/>
        <v>48.933316312246866</v>
      </c>
      <c r="AI17" s="6">
        <f t="shared" si="17"/>
        <v>48.443983149124399</v>
      </c>
      <c r="AJ17" s="6">
        <f t="shared" si="17"/>
        <v>47.959543317633155</v>
      </c>
      <c r="AK17" s="6">
        <f t="shared" si="17"/>
        <v>47.47994788445682</v>
      </c>
      <c r="AL17" s="6">
        <f t="shared" si="17"/>
        <v>47.005148405612253</v>
      </c>
      <c r="AM17" s="6">
        <f t="shared" si="17"/>
        <v>46.535096921556132</v>
      </c>
      <c r="AN17" s="6">
        <f t="shared" si="17"/>
        <v>46.069745952340568</v>
      </c>
      <c r="AO17" s="6">
        <f t="shared" si="17"/>
        <v>45.609048492817159</v>
      </c>
      <c r="AP17" s="6">
        <f t="shared" si="17"/>
        <v>45.152958007888984</v>
      </c>
      <c r="AQ17" s="6">
        <f t="shared" si="17"/>
        <v>44.701428427810093</v>
      </c>
      <c r="AR17" s="6">
        <f t="shared" si="17"/>
        <v>44.254414143531989</v>
      </c>
      <c r="AS17" s="6">
        <f t="shared" si="17"/>
        <v>43.811870002096668</v>
      </c>
      <c r="AT17" s="6">
        <f t="shared" si="17"/>
        <v>43.373751302075704</v>
      </c>
      <c r="AU17" s="6">
        <f t="shared" si="17"/>
        <v>42.940013789054944</v>
      </c>
      <c r="AV17" s="6">
        <f t="shared" si="17"/>
        <v>42.510613651164398</v>
      </c>
      <c r="AW17" s="6">
        <f t="shared" si="17"/>
        <v>42.085507514652754</v>
      </c>
      <c r="AX17" s="6">
        <f t="shared" si="17"/>
        <v>41.664652439506227</v>
      </c>
      <c r="AY17" s="6">
        <f t="shared" si="17"/>
        <v>41.248005915111165</v>
      </c>
      <c r="AZ17" s="6">
        <f t="shared" si="17"/>
        <v>40.83552585596005</v>
      </c>
      <c r="BA17" s="6">
        <f t="shared" si="17"/>
        <v>40.427170597400448</v>
      </c>
      <c r="BB17" s="6">
        <f t="shared" si="17"/>
        <v>40.022898891426443</v>
      </c>
      <c r="BC17" s="6">
        <f t="shared" si="17"/>
        <v>39.622669902512179</v>
      </c>
      <c r="BD17" s="6">
        <f t="shared" si="17"/>
        <v>39.226443203487058</v>
      </c>
      <c r="BE17" s="6">
        <f t="shared" si="17"/>
        <v>38.834178771452187</v>
      </c>
      <c r="BF17" s="6">
        <f t="shared" si="17"/>
        <v>38.445836983737664</v>
      </c>
      <c r="BG17" s="6">
        <f t="shared" si="17"/>
        <v>38.061378613900288</v>
      </c>
      <c r="BH17" s="6">
        <f t="shared" si="17"/>
        <v>37.680764827761287</v>
      </c>
      <c r="BI17" s="6">
        <f t="shared" si="17"/>
        <v>37.303957179483675</v>
      </c>
      <c r="BJ17" s="6">
        <f t="shared" si="17"/>
        <v>36.930917607688841</v>
      </c>
      <c r="BK17" s="6">
        <f t="shared" si="17"/>
        <v>36.561608431611951</v>
      </c>
      <c r="BL17" s="6">
        <f t="shared" si="17"/>
        <v>36.195992347295828</v>
      </c>
      <c r="BM17" s="6">
        <f t="shared" si="17"/>
        <v>35.834032423822869</v>
      </c>
      <c r="BN17" s="6">
        <f t="shared" si="17"/>
        <v>35.475692099584641</v>
      </c>
      <c r="BO17" s="6">
        <f t="shared" si="17"/>
        <v>35.120935178588795</v>
      </c>
      <c r="BP17" s="6">
        <f t="shared" si="17"/>
        <v>34.769725826802905</v>
      </c>
      <c r="BQ17" s="6">
        <f t="shared" si="17"/>
        <v>34.422028568534877</v>
      </c>
      <c r="BR17" s="6">
        <f t="shared" si="17"/>
        <v>34.077808282849531</v>
      </c>
      <c r="BS17" s="6">
        <f t="shared" si="17"/>
        <v>33.737030200021039</v>
      </c>
      <c r="BT17" s="6">
        <f t="shared" si="17"/>
        <v>33.399659898020829</v>
      </c>
      <c r="BU17" s="6">
        <f t="shared" si="17"/>
        <v>33.065663299040622</v>
      </c>
      <c r="BV17" s="6">
        <f t="shared" si="17"/>
        <v>32.735006666050218</v>
      </c>
      <c r="BW17" s="6">
        <f t="shared" si="17"/>
        <v>32.407656599389718</v>
      </c>
      <c r="BX17" s="6">
        <f t="shared" si="17"/>
        <v>32.083580033395819</v>
      </c>
      <c r="BY17" s="6">
        <f t="shared" si="17"/>
        <v>31.762744233061859</v>
      </c>
      <c r="BZ17" s="6">
        <f t="shared" si="17"/>
        <v>31.445116790731241</v>
      </c>
      <c r="CA17" s="6">
        <f t="shared" si="17"/>
        <v>31.13066562282393</v>
      </c>
      <c r="CB17" s="6">
        <f t="shared" si="17"/>
        <v>30.81935896659569</v>
      </c>
      <c r="CC17" s="6">
        <f t="shared" si="17"/>
        <v>30.511165376929732</v>
      </c>
      <c r="CD17" s="6">
        <f t="shared" si="17"/>
        <v>30.206053723160434</v>
      </c>
      <c r="CE17" s="6">
        <f t="shared" si="17"/>
        <v>29.903993185928829</v>
      </c>
      <c r="CF17" s="6">
        <f t="shared" si="17"/>
        <v>29.604953254069542</v>
      </c>
      <c r="CG17" s="6">
        <f t="shared" si="17"/>
        <v>29.308903721528846</v>
      </c>
      <c r="CH17" s="6">
        <f t="shared" si="17"/>
        <v>29.015814684313558</v>
      </c>
      <c r="CI17" s="6">
        <f t="shared" si="17"/>
        <v>28.725656537470421</v>
      </c>
      <c r="CJ17" s="6">
        <f t="shared" si="17"/>
        <v>28.438399972095716</v>
      </c>
      <c r="CK17" s="6">
        <f t="shared" si="17"/>
        <v>28.154015972374758</v>
      </c>
      <c r="CL17" s="6">
        <f t="shared" si="17"/>
        <v>27.872475812651011</v>
      </c>
      <c r="CM17" s="6">
        <f t="shared" si="17"/>
        <v>27.5937510545245</v>
      </c>
      <c r="CN17" s="6">
        <f t="shared" si="17"/>
        <v>27.317813543979256</v>
      </c>
      <c r="CO17" s="6">
        <f t="shared" si="17"/>
        <v>27.044635408539463</v>
      </c>
      <c r="CP17" s="6">
        <f t="shared" si="17"/>
        <v>26.774189054454069</v>
      </c>
      <c r="CQ17" s="6">
        <f t="shared" si="17"/>
        <v>26.506447163909527</v>
      </c>
      <c r="CR17" s="6">
        <f t="shared" si="17"/>
        <v>26.241382692270431</v>
      </c>
      <c r="CS17" s="6">
        <f t="shared" ref="CS17:EJ17" si="18">CR17*(1+$AH$23)</f>
        <v>25.978968865347728</v>
      </c>
      <c r="CT17" s="6">
        <f t="shared" si="18"/>
        <v>25.719179176694251</v>
      </c>
      <c r="CU17" s="6">
        <f t="shared" si="18"/>
        <v>25.461987384927308</v>
      </c>
      <c r="CV17" s="6">
        <f t="shared" si="18"/>
        <v>25.207367511078036</v>
      </c>
      <c r="CW17" s="6">
        <f t="shared" si="18"/>
        <v>24.955293835967257</v>
      </c>
      <c r="CX17" s="6">
        <f t="shared" si="18"/>
        <v>24.705740897607583</v>
      </c>
      <c r="CY17" s="6">
        <f t="shared" si="18"/>
        <v>24.458683488631507</v>
      </c>
      <c r="CZ17" s="6">
        <f t="shared" si="18"/>
        <v>24.214096653745191</v>
      </c>
      <c r="DA17" s="6">
        <f t="shared" si="18"/>
        <v>23.971955687207739</v>
      </c>
      <c r="DB17" s="6">
        <f t="shared" si="18"/>
        <v>23.732236130335661</v>
      </c>
      <c r="DC17" s="6">
        <f t="shared" si="18"/>
        <v>23.494913769032305</v>
      </c>
      <c r="DD17" s="6">
        <f t="shared" si="18"/>
        <v>23.259964631341983</v>
      </c>
      <c r="DE17" s="6">
        <f t="shared" si="18"/>
        <v>23.027364985028562</v>
      </c>
      <c r="DF17" s="6">
        <f t="shared" si="18"/>
        <v>22.797091335178276</v>
      </c>
      <c r="DG17" s="6">
        <f t="shared" si="18"/>
        <v>22.569120421826494</v>
      </c>
      <c r="DH17" s="6">
        <f t="shared" si="18"/>
        <v>22.343429217608229</v>
      </c>
      <c r="DI17" s="6">
        <f t="shared" si="18"/>
        <v>22.119994925432145</v>
      </c>
      <c r="DJ17" s="6">
        <f t="shared" si="18"/>
        <v>21.898794976177825</v>
      </c>
      <c r="DK17" s="6">
        <f t="shared" si="18"/>
        <v>21.679807026416047</v>
      </c>
      <c r="DL17" s="6">
        <f t="shared" si="18"/>
        <v>21.463008956151885</v>
      </c>
      <c r="DM17" s="6">
        <f t="shared" si="18"/>
        <v>21.248378866590365</v>
      </c>
      <c r="DN17" s="6">
        <f t="shared" si="18"/>
        <v>21.035895077924462</v>
      </c>
      <c r="DO17" s="6">
        <f t="shared" si="18"/>
        <v>20.825536127145217</v>
      </c>
      <c r="DP17" s="6">
        <f t="shared" si="18"/>
        <v>20.617280765873765</v>
      </c>
      <c r="DQ17" s="6">
        <f t="shared" si="18"/>
        <v>20.411107958215027</v>
      </c>
      <c r="DR17" s="6">
        <f t="shared" si="18"/>
        <v>20.206996878632875</v>
      </c>
      <c r="DS17" s="6">
        <f t="shared" si="18"/>
        <v>20.004926909846546</v>
      </c>
      <c r="DT17" s="6">
        <f t="shared" si="18"/>
        <v>19.804877640748082</v>
      </c>
      <c r="DU17" s="6">
        <f t="shared" si="18"/>
        <v>19.606828864340599</v>
      </c>
      <c r="DV17" s="6">
        <f t="shared" si="18"/>
        <v>19.410760575697193</v>
      </c>
      <c r="DW17" s="6">
        <f t="shared" si="18"/>
        <v>19.21665296994022</v>
      </c>
      <c r="DX17" s="6">
        <f t="shared" si="18"/>
        <v>19.024486440240818</v>
      </c>
      <c r="DY17" s="6">
        <f t="shared" si="18"/>
        <v>18.834241575838409</v>
      </c>
      <c r="DZ17" s="6">
        <f t="shared" si="18"/>
        <v>18.645899160080024</v>
      </c>
      <c r="EA17" s="6">
        <f t="shared" si="18"/>
        <v>18.459440168479222</v>
      </c>
      <c r="EB17" s="6">
        <f t="shared" si="18"/>
        <v>18.274845766794432</v>
      </c>
      <c r="EC17" s="6">
        <f t="shared" si="18"/>
        <v>18.092097309126487</v>
      </c>
      <c r="ED17" s="6">
        <f t="shared" si="18"/>
        <v>17.911176336035222</v>
      </c>
      <c r="EE17" s="6">
        <f t="shared" si="18"/>
        <v>17.732064572674869</v>
      </c>
      <c r="EF17" s="6">
        <f t="shared" si="18"/>
        <v>17.55474392694812</v>
      </c>
      <c r="EG17" s="6">
        <f t="shared" si="18"/>
        <v>17.379196487678637</v>
      </c>
      <c r="EH17" s="6">
        <f t="shared" si="18"/>
        <v>17.20540452280185</v>
      </c>
      <c r="EI17" s="6">
        <f t="shared" si="18"/>
        <v>17.03335047757383</v>
      </c>
      <c r="EJ17" s="6">
        <f t="shared" si="18"/>
        <v>16.863016972798093</v>
      </c>
    </row>
    <row r="18" spans="2:140" x14ac:dyDescent="0.3">
      <c r="B18" t="s">
        <v>1</v>
      </c>
      <c r="C18" s="1">
        <v>16.5</v>
      </c>
      <c r="D18" s="1">
        <v>16.5</v>
      </c>
      <c r="E18" s="1">
        <v>16.5</v>
      </c>
      <c r="F18" s="1">
        <v>16.5</v>
      </c>
      <c r="G18" s="1">
        <v>16.5</v>
      </c>
      <c r="H18" s="1">
        <v>22.3</v>
      </c>
      <c r="I18" s="1">
        <v>68.400000000000006</v>
      </c>
      <c r="J18" s="1">
        <v>68.400000000000006</v>
      </c>
      <c r="K18" s="1">
        <v>68.400000000000006</v>
      </c>
      <c r="L18" s="1">
        <v>68.400000000000006</v>
      </c>
      <c r="M18" s="1">
        <v>74.2</v>
      </c>
      <c r="N18" s="1">
        <v>74.2</v>
      </c>
      <c r="Q18" s="1">
        <v>16.5</v>
      </c>
      <c r="R18" s="1">
        <v>16.5</v>
      </c>
      <c r="S18" s="1">
        <v>44</v>
      </c>
      <c r="T18" s="1">
        <v>74.2</v>
      </c>
      <c r="U18" s="1">
        <v>74.2</v>
      </c>
      <c r="V18" s="1">
        <v>74.2</v>
      </c>
      <c r="W18" s="1">
        <v>74.2</v>
      </c>
      <c r="X18" s="1">
        <v>74.2</v>
      </c>
      <c r="Y18" s="1">
        <v>74.2</v>
      </c>
      <c r="Z18" s="1">
        <v>74.2</v>
      </c>
      <c r="AA18" s="1">
        <v>74.2</v>
      </c>
      <c r="AB18" s="1">
        <v>74.2</v>
      </c>
      <c r="AC18" s="1">
        <v>74.2</v>
      </c>
      <c r="AD18" s="1">
        <v>74.2</v>
      </c>
      <c r="AE18" s="1">
        <v>74.2</v>
      </c>
    </row>
    <row r="19" spans="2:140" x14ac:dyDescent="0.3">
      <c r="B19" t="s">
        <v>36</v>
      </c>
      <c r="C19" s="7">
        <f t="shared" ref="C19:J19" si="19">C17/C18</f>
        <v>-0.15151515151515149</v>
      </c>
      <c r="D19" s="7">
        <f t="shared" si="19"/>
        <v>-0.46060606060606057</v>
      </c>
      <c r="E19" s="7">
        <f t="shared" si="19"/>
        <v>3.6363636363636355E-2</v>
      </c>
      <c r="F19" s="7">
        <f t="shared" si="19"/>
        <v>-0.26666666666666661</v>
      </c>
      <c r="G19" s="7">
        <f t="shared" si="19"/>
        <v>-0.25454545454545402</v>
      </c>
      <c r="H19" s="7">
        <f t="shared" si="19"/>
        <v>-1.452914798206278</v>
      </c>
      <c r="I19" s="7">
        <f t="shared" si="19"/>
        <v>-0.4517543859649123</v>
      </c>
      <c r="J19" s="7">
        <f t="shared" si="19"/>
        <v>-0.49561403508771956</v>
      </c>
      <c r="K19" s="7">
        <f t="shared" ref="K19:N19" si="20">K17/K18</f>
        <v>-0.70906432748538006</v>
      </c>
      <c r="L19" s="7">
        <f t="shared" si="20"/>
        <v>-0.41374269005847952</v>
      </c>
      <c r="M19" s="7">
        <f t="shared" si="20"/>
        <v>-3.2345013477088951E-2</v>
      </c>
      <c r="N19" s="7">
        <f t="shared" si="20"/>
        <v>-4.5283018867924518E-2</v>
      </c>
      <c r="Q19" s="7">
        <f>Q17/Q18</f>
        <v>-0.58181818181818179</v>
      </c>
      <c r="R19" s="7">
        <f>R17/R18</f>
        <v>-0.84242424242424252</v>
      </c>
      <c r="S19" s="7">
        <f>S17/S18</f>
        <v>-2.2681818181818181</v>
      </c>
      <c r="T19" s="7">
        <f>T17/T18</f>
        <v>-1.0264150943396229</v>
      </c>
      <c r="U19" s="7">
        <f t="shared" ref="U19:AE19" si="21">U17/U18</f>
        <v>2.846361185983828E-2</v>
      </c>
      <c r="V19" s="7">
        <f t="shared" si="21"/>
        <v>0.11773753369272238</v>
      </c>
      <c r="W19" s="7">
        <f t="shared" si="21"/>
        <v>0.2025954177897574</v>
      </c>
      <c r="X19" s="7">
        <f t="shared" si="21"/>
        <v>0.27780232884097017</v>
      </c>
      <c r="Y19" s="7">
        <f t="shared" si="21"/>
        <v>0.34709459842318069</v>
      </c>
      <c r="Z19" s="7">
        <f t="shared" si="21"/>
        <v>0.42683193788450152</v>
      </c>
      <c r="AA19" s="7">
        <f t="shared" si="21"/>
        <v>0.49998662290755141</v>
      </c>
      <c r="AB19" s="7">
        <f t="shared" si="21"/>
        <v>0.55000936626331154</v>
      </c>
      <c r="AC19" s="7">
        <f t="shared" si="21"/>
        <v>0.60357654965982721</v>
      </c>
      <c r="AD19" s="7">
        <f t="shared" si="21"/>
        <v>0.64729966440445752</v>
      </c>
      <c r="AE19" s="7">
        <f t="shared" si="21"/>
        <v>0.67966539850013641</v>
      </c>
    </row>
    <row r="21" spans="2:140" x14ac:dyDescent="0.3">
      <c r="B21" s="5" t="s">
        <v>38</v>
      </c>
      <c r="C21" s="9"/>
      <c r="D21" s="9"/>
      <c r="E21" s="9"/>
      <c r="F21" s="9"/>
      <c r="G21" s="9">
        <f t="shared" ref="G21:H21" si="22">G3/C3-1</f>
        <v>1.0740740740740753</v>
      </c>
      <c r="H21" s="9">
        <f t="shared" si="22"/>
        <v>4.9615384615384617</v>
      </c>
      <c r="I21" s="9">
        <f>I3/E3-1</f>
        <v>3.7272727272727275</v>
      </c>
      <c r="J21" s="9">
        <f t="shared" ref="J21:N21" si="23">J3/F3-1</f>
        <v>0.99999999999999933</v>
      </c>
      <c r="K21" s="9">
        <f t="shared" si="23"/>
        <v>0.58928571428571352</v>
      </c>
      <c r="L21" s="9">
        <f t="shared" si="23"/>
        <v>-0.23225806451612896</v>
      </c>
      <c r="M21" s="9">
        <f t="shared" si="23"/>
        <v>-0.22435897435897434</v>
      </c>
      <c r="N21" s="9">
        <f t="shared" si="23"/>
        <v>0.40000000000000036</v>
      </c>
      <c r="O21" s="5"/>
      <c r="P21" s="5"/>
      <c r="Q21" s="5"/>
      <c r="R21" s="9">
        <f>R3/Q3-1</f>
        <v>0.35999999999999988</v>
      </c>
      <c r="S21" s="9">
        <f>S3/R3-1</f>
        <v>2.4338235294117649</v>
      </c>
      <c r="T21" s="9">
        <f t="shared" ref="T21:AE21" si="24">T3/S3-1</f>
        <v>4.2826552462524869E-3</v>
      </c>
      <c r="U21" s="9">
        <f t="shared" si="24"/>
        <v>0.30000000000000004</v>
      </c>
      <c r="V21" s="9">
        <f t="shared" si="24"/>
        <v>0.25000000000000022</v>
      </c>
      <c r="W21" s="9">
        <f t="shared" si="24"/>
        <v>0.19999999999999996</v>
      </c>
      <c r="X21" s="9">
        <f t="shared" si="24"/>
        <v>0.14999999999999991</v>
      </c>
      <c r="Y21" s="9">
        <f t="shared" si="24"/>
        <v>0.12000000000000011</v>
      </c>
      <c r="Z21" s="9">
        <f t="shared" si="24"/>
        <v>0.10000000000000009</v>
      </c>
      <c r="AA21" s="9">
        <f t="shared" si="24"/>
        <v>8.0000000000000071E-2</v>
      </c>
      <c r="AB21" s="9">
        <f t="shared" si="24"/>
        <v>6.0000000000000053E-2</v>
      </c>
      <c r="AC21" s="9">
        <f t="shared" si="24"/>
        <v>5.0000000000000044E-2</v>
      </c>
      <c r="AD21" s="9">
        <f t="shared" si="24"/>
        <v>4.0000000000000036E-2</v>
      </c>
      <c r="AE21" s="9">
        <f t="shared" si="24"/>
        <v>3.0000000000000027E-2</v>
      </c>
    </row>
    <row r="22" spans="2:140" x14ac:dyDescent="0.3">
      <c r="B22" t="s">
        <v>39</v>
      </c>
      <c r="C22" s="8">
        <f t="shared" ref="C22:H22" si="25">C5/C3</f>
        <v>0.44444444444444431</v>
      </c>
      <c r="D22" s="8">
        <f t="shared" si="25"/>
        <v>0.46153846153846156</v>
      </c>
      <c r="E22" s="8">
        <f t="shared" si="25"/>
        <v>0.54545454545454541</v>
      </c>
      <c r="F22" s="8">
        <f t="shared" si="25"/>
        <v>0.8</v>
      </c>
      <c r="G22" s="8">
        <f t="shared" si="25"/>
        <v>0.55357142857142894</v>
      </c>
      <c r="H22" s="8">
        <f t="shared" si="25"/>
        <v>0.58709677419354833</v>
      </c>
      <c r="I22" s="8">
        <f>I5/I3</f>
        <v>0.56410256410256421</v>
      </c>
      <c r="J22" s="8">
        <f t="shared" ref="J22:N22" si="26">J5/J3</f>
        <v>0.75999999999999979</v>
      </c>
      <c r="K22" s="8">
        <f t="shared" si="26"/>
        <v>0.3932584269662921</v>
      </c>
      <c r="L22" s="8">
        <f t="shared" si="26"/>
        <v>0.56302521008403361</v>
      </c>
      <c r="M22" s="8">
        <f t="shared" si="26"/>
        <v>0.64462809917355368</v>
      </c>
      <c r="N22" s="8">
        <f t="shared" si="26"/>
        <v>0.72</v>
      </c>
      <c r="Q22" s="8">
        <f>Q5/Q3</f>
        <v>0.52</v>
      </c>
      <c r="R22" s="8">
        <f>R5/R3</f>
        <v>0.6029411764705882</v>
      </c>
      <c r="S22" s="8">
        <f>S5/S3</f>
        <v>0.61241970021413272</v>
      </c>
      <c r="T22" s="8">
        <f t="shared" ref="T22:AE22" si="27">T5/T3</f>
        <v>0.59872068230277187</v>
      </c>
      <c r="U22" s="8">
        <f t="shared" si="27"/>
        <v>0.6</v>
      </c>
      <c r="V22" s="8">
        <f t="shared" si="27"/>
        <v>0.61</v>
      </c>
      <c r="W22" s="8">
        <f t="shared" si="27"/>
        <v>0.61</v>
      </c>
      <c r="X22" s="8">
        <f t="shared" si="27"/>
        <v>0.61</v>
      </c>
      <c r="Y22" s="8">
        <f t="shared" si="27"/>
        <v>0.61</v>
      </c>
      <c r="Z22" s="8">
        <f t="shared" si="27"/>
        <v>0.61</v>
      </c>
      <c r="AA22" s="8">
        <f t="shared" si="27"/>
        <v>0.61</v>
      </c>
      <c r="AB22" s="8">
        <f t="shared" si="27"/>
        <v>0.61</v>
      </c>
      <c r="AC22" s="8">
        <f t="shared" si="27"/>
        <v>0.61</v>
      </c>
      <c r="AD22" s="8">
        <f t="shared" si="27"/>
        <v>0.61</v>
      </c>
      <c r="AE22" s="8">
        <f t="shared" si="27"/>
        <v>0.61</v>
      </c>
    </row>
    <row r="23" spans="2:140" x14ac:dyDescent="0.3">
      <c r="B23" t="s">
        <v>40</v>
      </c>
      <c r="G23" s="8">
        <f>G6/C6-1</f>
        <v>-0.1428571428571429</v>
      </c>
      <c r="H23" s="8">
        <f t="shared" ref="H23:N23" si="28">H6/D6-1</f>
        <v>0</v>
      </c>
      <c r="I23" s="8">
        <f t="shared" si="28"/>
        <v>2.8</v>
      </c>
      <c r="J23" s="8">
        <f t="shared" si="28"/>
        <v>1.1111111111111112</v>
      </c>
      <c r="K23" s="8">
        <f t="shared" si="28"/>
        <v>1.9999999999999996</v>
      </c>
      <c r="L23" s="8">
        <f t="shared" si="28"/>
        <v>1.5</v>
      </c>
      <c r="M23" s="8">
        <f t="shared" si="28"/>
        <v>-0.89473684210526316</v>
      </c>
      <c r="N23" s="8">
        <f t="shared" si="28"/>
        <v>-0.78947368421052633</v>
      </c>
      <c r="Q23" s="8"/>
      <c r="R23" s="8">
        <f>R6/Q6-1</f>
        <v>1.0769230769230771</v>
      </c>
      <c r="S23" s="8">
        <f t="shared" ref="S23:T23" si="29">S6/R6-1</f>
        <v>0.85185185185185164</v>
      </c>
      <c r="T23" s="8">
        <f t="shared" si="29"/>
        <v>-0.21999999999999997</v>
      </c>
      <c r="U23" s="8">
        <f t="shared" ref="U23:AE23" si="30">U6/T6-1</f>
        <v>-0.48717948717948711</v>
      </c>
      <c r="V23" s="8">
        <f t="shared" si="30"/>
        <v>0.8</v>
      </c>
      <c r="W23" s="8">
        <f t="shared" si="30"/>
        <v>0.5</v>
      </c>
      <c r="X23" s="8">
        <f t="shared" si="30"/>
        <v>0.30000000000000004</v>
      </c>
      <c r="Y23" s="8">
        <f t="shared" si="30"/>
        <v>0.19999999999999996</v>
      </c>
      <c r="Z23" s="8">
        <f t="shared" si="30"/>
        <v>0.10000000000000009</v>
      </c>
      <c r="AA23" s="8">
        <f t="shared" si="30"/>
        <v>5.0000000000000044E-2</v>
      </c>
      <c r="AB23" s="8">
        <f t="shared" si="30"/>
        <v>0.10000000000000009</v>
      </c>
      <c r="AC23" s="8">
        <f t="shared" si="30"/>
        <v>1.0000000000000009E-2</v>
      </c>
      <c r="AD23" s="8">
        <f t="shared" si="30"/>
        <v>1.0000000000000009E-2</v>
      </c>
      <c r="AE23" s="8">
        <f t="shared" si="30"/>
        <v>1.0000000000000009E-2</v>
      </c>
      <c r="AG23" t="s">
        <v>44</v>
      </c>
      <c r="AH23" s="8">
        <v>-0.01</v>
      </c>
    </row>
    <row r="24" spans="2:140" x14ac:dyDescent="0.3">
      <c r="B24" t="s">
        <v>41</v>
      </c>
      <c r="C24" s="8">
        <f>C7/C3</f>
        <v>0.74074074074074048</v>
      </c>
      <c r="D24" s="8">
        <f t="shared" ref="D24:N24" si="31">D7/D3</f>
        <v>0.84615384615384615</v>
      </c>
      <c r="E24" s="8">
        <f t="shared" si="31"/>
        <v>0.93939393939393945</v>
      </c>
      <c r="F24" s="8">
        <f t="shared" si="31"/>
        <v>0.67999999999999983</v>
      </c>
      <c r="G24" s="8">
        <f t="shared" si="31"/>
        <v>0.62499999999999967</v>
      </c>
      <c r="H24" s="8">
        <f t="shared" si="31"/>
        <v>0.65161290322580645</v>
      </c>
      <c r="I24" s="8">
        <f t="shared" si="31"/>
        <v>0.71153846153846156</v>
      </c>
      <c r="J24" s="8">
        <f t="shared" si="31"/>
        <v>0.85000000000000031</v>
      </c>
      <c r="K24" s="8">
        <f t="shared" si="31"/>
        <v>0.65168539325842689</v>
      </c>
      <c r="L24" s="8">
        <f t="shared" si="31"/>
        <v>0.68067226890756294</v>
      </c>
      <c r="M24" s="8">
        <f t="shared" si="31"/>
        <v>0.63636363636363635</v>
      </c>
      <c r="N24" s="8">
        <f t="shared" si="31"/>
        <v>0.61</v>
      </c>
      <c r="Q24" s="8">
        <f t="shared" ref="Q24:T24" si="32">Q7/Q3</f>
        <v>0.71</v>
      </c>
      <c r="R24" s="8">
        <f t="shared" si="32"/>
        <v>0.78676470588235292</v>
      </c>
      <c r="S24" s="8">
        <f t="shared" si="32"/>
        <v>0.71092077087794436</v>
      </c>
      <c r="T24" s="8">
        <f t="shared" si="32"/>
        <v>0.64264392324093811</v>
      </c>
      <c r="U24" s="8">
        <f t="shared" ref="U24:AE24" si="33">U7/U3</f>
        <v>0.24717073970805312</v>
      </c>
      <c r="V24" s="8">
        <f t="shared" si="33"/>
        <v>0.20762342135476461</v>
      </c>
      <c r="W24" s="8">
        <f t="shared" si="33"/>
        <v>0.17647990815154993</v>
      </c>
      <c r="X24" s="8">
        <f t="shared" si="33"/>
        <v>0.15499539759396994</v>
      </c>
      <c r="Y24" s="8">
        <f t="shared" si="33"/>
        <v>0.13977263533027645</v>
      </c>
      <c r="Z24" s="8">
        <f t="shared" si="33"/>
        <v>0.12833669243961746</v>
      </c>
      <c r="AA24" s="8">
        <f t="shared" si="33"/>
        <v>0.1200185734851978</v>
      </c>
      <c r="AB24" s="8">
        <f t="shared" si="33"/>
        <v>0.11435732001891487</v>
      </c>
      <c r="AC24" s="8">
        <f t="shared" si="33"/>
        <v>0.11000085068486097</v>
      </c>
      <c r="AD24" s="8">
        <f t="shared" si="33"/>
        <v>0.10682774922279767</v>
      </c>
      <c r="AE24" s="8">
        <f t="shared" si="33"/>
        <v>0.10475342399517054</v>
      </c>
      <c r="AG24" t="s">
        <v>45</v>
      </c>
      <c r="AH24" s="8">
        <v>0.12</v>
      </c>
    </row>
    <row r="25" spans="2:140" x14ac:dyDescent="0.3">
      <c r="B25" t="s">
        <v>43</v>
      </c>
      <c r="C25" s="8"/>
      <c r="D25" s="8"/>
      <c r="E25" s="8"/>
      <c r="F25" s="8"/>
      <c r="G25" s="8">
        <f>G7/C7-1</f>
        <v>0.75000000000000044</v>
      </c>
      <c r="H25" s="8">
        <f t="shared" ref="H25:N25" si="34">H7/D7-1</f>
        <v>3.5909090909090899</v>
      </c>
      <c r="I25" s="8">
        <f t="shared" si="34"/>
        <v>2.5806451612903225</v>
      </c>
      <c r="J25" s="8">
        <f t="shared" si="34"/>
        <v>1.5000000000000004</v>
      </c>
      <c r="K25" s="8">
        <f t="shared" si="34"/>
        <v>0.65714285714285703</v>
      </c>
      <c r="L25" s="8">
        <f t="shared" si="34"/>
        <v>-0.19801980198019797</v>
      </c>
      <c r="M25" s="8">
        <f t="shared" si="34"/>
        <v>-0.30630630630630629</v>
      </c>
      <c r="N25" s="8">
        <f t="shared" si="34"/>
        <v>4.7058823529408933E-3</v>
      </c>
      <c r="Q25" s="8"/>
      <c r="R25" s="8">
        <f t="shared" ref="R25:AE25" si="35">R7/Q7-1</f>
        <v>0.50704225352112675</v>
      </c>
      <c r="S25" s="8">
        <f t="shared" si="35"/>
        <v>2.1028037383177574</v>
      </c>
      <c r="T25" s="8">
        <f t="shared" si="35"/>
        <v>-9.2168674698795305E-2</v>
      </c>
      <c r="U25" s="8">
        <f t="shared" si="35"/>
        <v>-0.5</v>
      </c>
      <c r="V25" s="8">
        <f t="shared" si="35"/>
        <v>5.0000000000000044E-2</v>
      </c>
      <c r="W25" s="8">
        <f t="shared" si="35"/>
        <v>2.0000000000000018E-2</v>
      </c>
      <c r="X25" s="8">
        <f t="shared" si="35"/>
        <v>1.0000000000000009E-2</v>
      </c>
      <c r="Y25" s="8">
        <f t="shared" si="35"/>
        <v>1.0000000000000009E-2</v>
      </c>
      <c r="Z25" s="8">
        <f t="shared" si="35"/>
        <v>1.0000000000000009E-2</v>
      </c>
      <c r="AA25" s="8">
        <f t="shared" si="35"/>
        <v>1.0000000000000009E-2</v>
      </c>
      <c r="AB25" s="8">
        <f t="shared" si="35"/>
        <v>1.0000000000000009E-2</v>
      </c>
      <c r="AC25" s="8">
        <f t="shared" si="35"/>
        <v>1.0000000000000009E-2</v>
      </c>
      <c r="AD25" s="8">
        <f t="shared" si="35"/>
        <v>1.0000000000000009E-2</v>
      </c>
      <c r="AE25" s="8">
        <f t="shared" si="35"/>
        <v>1.0000000000000009E-2</v>
      </c>
      <c r="AG25" t="s">
        <v>46</v>
      </c>
      <c r="AH25" s="1">
        <f>NPV(AH24,T17:EJ17)</f>
        <v>157.97453743105368</v>
      </c>
    </row>
    <row r="26" spans="2:140" x14ac:dyDescent="0.3">
      <c r="B26" t="s">
        <v>42</v>
      </c>
      <c r="G26" s="8">
        <f>G8/C8-1</f>
        <v>5.4999999999999947</v>
      </c>
      <c r="H26" s="8">
        <f t="shared" ref="H26:N26" si="36">H8/D8-1</f>
        <v>7</v>
      </c>
      <c r="I26" s="8">
        <f t="shared" si="36"/>
        <v>28.666666666666664</v>
      </c>
      <c r="J26" s="8">
        <f t="shared" si="36"/>
        <v>10.923076923076923</v>
      </c>
      <c r="K26" s="8">
        <f t="shared" si="36"/>
        <v>8.9230769230769322</v>
      </c>
      <c r="L26" s="8">
        <f t="shared" si="36"/>
        <v>2.6428571428571428</v>
      </c>
      <c r="M26" s="8">
        <f t="shared" si="36"/>
        <v>-0.89513108614232206</v>
      </c>
      <c r="N26" s="8">
        <f t="shared" si="36"/>
        <v>-0.88709677419354838</v>
      </c>
      <c r="Q26" s="8"/>
      <c r="R26" s="8">
        <f>R8/Q8-1</f>
        <v>1.8749999999999996</v>
      </c>
      <c r="S26" s="8">
        <f t="shared" ref="S26:T26" si="37">S8/R8-1</f>
        <v>13.326086956521742</v>
      </c>
      <c r="T26" s="8">
        <f t="shared" si="37"/>
        <v>-0.20333839150227628</v>
      </c>
      <c r="U26" s="8">
        <f t="shared" ref="U26:AE26" si="38">U8/T8-1</f>
        <v>-0.7142857142857143</v>
      </c>
      <c r="V26" s="8">
        <f t="shared" si="38"/>
        <v>3.0000000000000027E-2</v>
      </c>
      <c r="W26" s="8">
        <f t="shared" si="38"/>
        <v>2.0000000000000018E-2</v>
      </c>
      <c r="X26" s="8">
        <f t="shared" si="38"/>
        <v>2.0000000000000018E-2</v>
      </c>
      <c r="Y26" s="8">
        <f t="shared" si="38"/>
        <v>1.0000000000000009E-2</v>
      </c>
      <c r="Z26" s="8">
        <f t="shared" si="38"/>
        <v>1.0000000000000009E-2</v>
      </c>
      <c r="AA26" s="8">
        <f t="shared" si="38"/>
        <v>1.0000000000000009E-2</v>
      </c>
      <c r="AB26" s="8">
        <f t="shared" si="38"/>
        <v>1.0000000000000009E-2</v>
      </c>
      <c r="AC26" s="8">
        <f t="shared" si="38"/>
        <v>1.0000000000000009E-2</v>
      </c>
      <c r="AD26" s="8">
        <f t="shared" si="38"/>
        <v>1.0000000000000009E-2</v>
      </c>
      <c r="AE26" s="8">
        <f t="shared" si="38"/>
        <v>1.0000000000000009E-2</v>
      </c>
      <c r="AG26" t="s">
        <v>47</v>
      </c>
      <c r="AH26" s="1">
        <f>Main!D8</f>
        <v>-15.5</v>
      </c>
    </row>
    <row r="27" spans="2:140" x14ac:dyDescent="0.3">
      <c r="B27" t="s">
        <v>53</v>
      </c>
      <c r="C27" s="8">
        <f>C10/C3</f>
        <v>-0.85185185185185175</v>
      </c>
      <c r="D27" s="8">
        <f t="shared" ref="D27:N27" si="39">D10/D3</f>
        <v>-1.0384615384615383</v>
      </c>
      <c r="E27" s="8">
        <f t="shared" si="39"/>
        <v>-0.96969696969696983</v>
      </c>
      <c r="F27" s="8">
        <f t="shared" si="39"/>
        <v>-0.63999999999999979</v>
      </c>
      <c r="G27" s="8">
        <f t="shared" si="39"/>
        <v>-0.69642857142856995</v>
      </c>
      <c r="H27" s="8">
        <f t="shared" si="39"/>
        <v>-0.49032258064516127</v>
      </c>
      <c r="I27" s="8">
        <f t="shared" si="39"/>
        <v>-2.0128205128205128</v>
      </c>
      <c r="J27" s="8">
        <f t="shared" si="39"/>
        <v>-3.4800000000000018</v>
      </c>
      <c r="K27" s="8">
        <f t="shared" si="39"/>
        <v>-3.4157303370786516</v>
      </c>
      <c r="L27" s="8">
        <f t="shared" si="39"/>
        <v>-1.9747899159663862</v>
      </c>
      <c r="M27" s="8">
        <f t="shared" si="39"/>
        <v>-0.26446280991735538</v>
      </c>
      <c r="N27" s="8">
        <f t="shared" si="39"/>
        <v>-0.23999999999999996</v>
      </c>
      <c r="Q27" s="8">
        <f t="shared" ref="Q27:AE27" si="40">Q10/Q3</f>
        <v>-0.61999999999999988</v>
      </c>
      <c r="R27" s="8">
        <f t="shared" si="40"/>
        <v>-0.83823529411764708</v>
      </c>
      <c r="S27" s="8">
        <f t="shared" si="40"/>
        <v>-1.6638115631691648</v>
      </c>
      <c r="T27" s="8">
        <f t="shared" si="40"/>
        <v>-1.2891257995735608</v>
      </c>
      <c r="U27" s="8">
        <f t="shared" si="40"/>
        <v>3.4639986878792856E-2</v>
      </c>
      <c r="V27" s="8">
        <f t="shared" si="40"/>
        <v>0.11462850582253568</v>
      </c>
      <c r="W27" s="8">
        <f t="shared" si="40"/>
        <v>0.16437133016237493</v>
      </c>
      <c r="X27" s="8">
        <f t="shared" si="40"/>
        <v>0.19599026178234474</v>
      </c>
      <c r="Y27" s="8">
        <f t="shared" si="40"/>
        <v>0.21863940826717554</v>
      </c>
      <c r="Z27" s="8">
        <f t="shared" si="40"/>
        <v>0.24442454266346433</v>
      </c>
      <c r="AA27" s="8">
        <f t="shared" si="40"/>
        <v>0.26510781635205932</v>
      </c>
      <c r="AB27" s="8">
        <f t="shared" si="40"/>
        <v>0.27512393064716395</v>
      </c>
      <c r="AC27" s="8">
        <f t="shared" si="40"/>
        <v>0.28754203451902333</v>
      </c>
      <c r="AD27" s="8">
        <f t="shared" si="40"/>
        <v>0.29651114764156572</v>
      </c>
      <c r="AE27" s="8">
        <f t="shared" si="40"/>
        <v>0.30226897959239707</v>
      </c>
      <c r="AG27" t="s">
        <v>48</v>
      </c>
      <c r="AH27" s="1">
        <f>AH25+AH26</f>
        <v>142.47453743105368</v>
      </c>
    </row>
    <row r="28" spans="2:140" x14ac:dyDescent="0.3">
      <c r="B28" t="s">
        <v>34</v>
      </c>
      <c r="C28" s="8">
        <f>C15/C14</f>
        <v>3.7037037037037042E-2</v>
      </c>
      <c r="D28" s="8">
        <f t="shared" ref="D28:N28" si="41">D15/D14</f>
        <v>0</v>
      </c>
      <c r="E28" s="8">
        <f t="shared" si="41"/>
        <v>0</v>
      </c>
      <c r="F28" s="8">
        <f t="shared" si="41"/>
        <v>-2.3255813953488375E-2</v>
      </c>
      <c r="G28" s="8">
        <f t="shared" si="41"/>
        <v>0</v>
      </c>
      <c r="H28" s="8">
        <f t="shared" si="41"/>
        <v>0</v>
      </c>
      <c r="I28" s="8">
        <f t="shared" si="41"/>
        <v>3.2258064516129032E-3</v>
      </c>
      <c r="J28" s="8">
        <f t="shared" si="41"/>
        <v>-2.9498525073746295E-3</v>
      </c>
      <c r="K28" s="8">
        <f t="shared" si="41"/>
        <v>-2.0661157024793389E-3</v>
      </c>
      <c r="L28" s="8">
        <f t="shared" si="41"/>
        <v>7.0175438596491229E-3</v>
      </c>
      <c r="M28" s="8">
        <f t="shared" si="41"/>
        <v>0</v>
      </c>
      <c r="N28" s="8">
        <f t="shared" si="41"/>
        <v>0</v>
      </c>
      <c r="Q28" s="8">
        <f t="shared" ref="Q28:T28" si="42">Q15/Q14</f>
        <v>0</v>
      </c>
      <c r="R28" s="8">
        <f t="shared" si="42"/>
        <v>0</v>
      </c>
      <c r="S28" s="8">
        <f t="shared" si="42"/>
        <v>0</v>
      </c>
      <c r="T28" s="8">
        <f t="shared" si="42"/>
        <v>1.3095861707700367E-3</v>
      </c>
      <c r="U28" s="8">
        <f t="shared" ref="U28:AE28" si="43">U15/U14</f>
        <v>0</v>
      </c>
      <c r="V28" s="8">
        <f t="shared" si="43"/>
        <v>0</v>
      </c>
      <c r="W28" s="8">
        <f t="shared" si="43"/>
        <v>0</v>
      </c>
      <c r="X28" s="8">
        <f t="shared" si="43"/>
        <v>0</v>
      </c>
      <c r="Y28" s="8">
        <f t="shared" si="43"/>
        <v>0</v>
      </c>
      <c r="Z28" s="8">
        <f t="shared" si="43"/>
        <v>0</v>
      </c>
      <c r="AA28" s="8">
        <f t="shared" si="43"/>
        <v>0</v>
      </c>
      <c r="AB28" s="8">
        <f t="shared" si="43"/>
        <v>0</v>
      </c>
      <c r="AC28" s="8">
        <f t="shared" si="43"/>
        <v>0</v>
      </c>
      <c r="AD28" s="8">
        <f t="shared" si="43"/>
        <v>0</v>
      </c>
      <c r="AE28" s="8">
        <f t="shared" si="43"/>
        <v>0</v>
      </c>
      <c r="AG28" t="s">
        <v>49</v>
      </c>
      <c r="AH28" s="3">
        <f>AH27/AE18</f>
        <v>1.920142013895602</v>
      </c>
    </row>
    <row r="29" spans="2:140" x14ac:dyDescent="0.3">
      <c r="B29" t="s">
        <v>54</v>
      </c>
      <c r="C29" s="8">
        <f>C17/C3</f>
        <v>-0.92592592592592571</v>
      </c>
      <c r="D29" s="8">
        <f t="shared" ref="D29:N29" si="44">D17/D3</f>
        <v>-2.9230769230769229</v>
      </c>
      <c r="E29" s="8">
        <f t="shared" si="44"/>
        <v>0.1818181818181818</v>
      </c>
      <c r="F29" s="8">
        <f t="shared" si="44"/>
        <v>-0.87999999999999978</v>
      </c>
      <c r="G29" s="8">
        <f t="shared" si="44"/>
        <v>-0.749999999999998</v>
      </c>
      <c r="H29" s="8">
        <f t="shared" si="44"/>
        <v>-2.0903225806451613</v>
      </c>
      <c r="I29" s="8">
        <f t="shared" si="44"/>
        <v>-1.9807692307692311</v>
      </c>
      <c r="J29" s="8">
        <f t="shared" si="44"/>
        <v>-3.3900000000000028</v>
      </c>
      <c r="K29" s="8">
        <f t="shared" si="44"/>
        <v>-5.4494382022471912</v>
      </c>
      <c r="L29" s="8">
        <f t="shared" si="44"/>
        <v>-2.3781512605042017</v>
      </c>
      <c r="M29" s="8">
        <f t="shared" si="44"/>
        <v>-0.19834710743801656</v>
      </c>
      <c r="N29" s="8">
        <f t="shared" si="44"/>
        <v>-0.23999999999999996</v>
      </c>
      <c r="Q29" s="8">
        <f t="shared" ref="Q29:AE29" si="45">Q17/Q3</f>
        <v>-0.96</v>
      </c>
      <c r="R29" s="8">
        <f t="shared" si="45"/>
        <v>-1.0220588235294119</v>
      </c>
      <c r="S29" s="8">
        <f t="shared" si="45"/>
        <v>-2.1370449678800854</v>
      </c>
      <c r="T29" s="8">
        <f t="shared" si="45"/>
        <v>-1.6238805970149257</v>
      </c>
      <c r="U29" s="8">
        <f t="shared" si="45"/>
        <v>3.4639986878792856E-2</v>
      </c>
      <c r="V29" s="8">
        <f t="shared" si="45"/>
        <v>0.11462850582253568</v>
      </c>
      <c r="W29" s="8">
        <f t="shared" si="45"/>
        <v>0.16437133016237493</v>
      </c>
      <c r="X29" s="8">
        <f t="shared" si="45"/>
        <v>0.19599026178234474</v>
      </c>
      <c r="Y29" s="8">
        <f t="shared" si="45"/>
        <v>0.21863940826717554</v>
      </c>
      <c r="Z29" s="8">
        <f t="shared" si="45"/>
        <v>0.24442454266346433</v>
      </c>
      <c r="AA29" s="8">
        <f t="shared" si="45"/>
        <v>0.26510781635205932</v>
      </c>
      <c r="AB29" s="8">
        <f t="shared" si="45"/>
        <v>0.27512393064716395</v>
      </c>
      <c r="AC29" s="8">
        <f t="shared" si="45"/>
        <v>0.28754203451902333</v>
      </c>
      <c r="AD29" s="8">
        <f t="shared" si="45"/>
        <v>0.29651114764156572</v>
      </c>
      <c r="AE29" s="8">
        <f t="shared" si="45"/>
        <v>0.30226897959239707</v>
      </c>
      <c r="AG29" t="s">
        <v>50</v>
      </c>
      <c r="AH29" s="3">
        <f>Main!D3</f>
        <v>1.27</v>
      </c>
    </row>
    <row r="30" spans="2:140" x14ac:dyDescent="0.3">
      <c r="AG30" s="5" t="s">
        <v>51</v>
      </c>
      <c r="AH30" s="9">
        <f>AH28/AH29-1</f>
        <v>0.51192284558708812</v>
      </c>
    </row>
    <row r="31" spans="2:140" x14ac:dyDescent="0.3">
      <c r="AG31" t="s">
        <v>52</v>
      </c>
      <c r="AH31" s="4" t="s">
        <v>55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2024-07-02T17:59:48Z</dcterms:created>
  <dcterms:modified xsi:type="dcterms:W3CDTF">2025-04-04T09:43:35Z</dcterms:modified>
</cp:coreProperties>
</file>