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D91EC34-FB68-4886-9B65-327FF9DCC40D}" xr6:coauthVersionLast="47" xr6:coauthVersionMax="47" xr10:uidLastSave="{00000000-0000-0000-0000-000000000000}"/>
  <bookViews>
    <workbookView xWindow="-108" yWindow="-108" windowWidth="23256" windowHeight="12576" activeTab="1" xr2:uid="{43F12638-722A-4181-A3AA-4360C00656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2" l="1"/>
  <c r="T13" i="2"/>
  <c r="AS82" i="2"/>
  <c r="AS79" i="2"/>
  <c r="AL75" i="2"/>
  <c r="AM75" i="2" s="1"/>
  <c r="AN75" i="2" s="1"/>
  <c r="AO75" i="2" s="1"/>
  <c r="AK75" i="2"/>
  <c r="AG75" i="2"/>
  <c r="AH75" i="2" s="1"/>
  <c r="AI75" i="2" s="1"/>
  <c r="AJ75" i="2" s="1"/>
  <c r="AF75" i="2"/>
  <c r="AL63" i="2"/>
  <c r="AM63" i="2" s="1"/>
  <c r="AN63" i="2" s="1"/>
  <c r="AO63" i="2" s="1"/>
  <c r="AK63" i="2"/>
  <c r="AJ63" i="2"/>
  <c r="AI63" i="2"/>
  <c r="AH63" i="2"/>
  <c r="AG63" i="2"/>
  <c r="AF63" i="2"/>
  <c r="AE63" i="2"/>
  <c r="Y65" i="2"/>
  <c r="Y74" i="2"/>
  <c r="Y76" i="2" s="1"/>
  <c r="Z65" i="2"/>
  <c r="Z74" i="2"/>
  <c r="Z76" i="2" s="1"/>
  <c r="AA65" i="2"/>
  <c r="AA74" i="2"/>
  <c r="AA76" i="2" s="1"/>
  <c r="AB65" i="2"/>
  <c r="AB74" i="2" s="1"/>
  <c r="AB76" i="2" s="1"/>
  <c r="AC65" i="2"/>
  <c r="AC74" i="2" s="1"/>
  <c r="AC76" i="2" s="1"/>
  <c r="AD74" i="2"/>
  <c r="AD76" i="2" s="1"/>
  <c r="AS51" i="2"/>
  <c r="U15" i="2"/>
  <c r="T15" i="2"/>
  <c r="S15" i="2"/>
  <c r="S14" i="2"/>
  <c r="U14" i="2"/>
  <c r="T14" i="2"/>
  <c r="AE54" i="2" l="1"/>
  <c r="U26" i="2"/>
  <c r="U27" i="2" s="1"/>
  <c r="T26" i="2"/>
  <c r="T55" i="2" s="1"/>
  <c r="S26" i="2"/>
  <c r="S55" i="2" s="1"/>
  <c r="U25" i="2"/>
  <c r="U54" i="2" s="1"/>
  <c r="T25" i="2"/>
  <c r="S25" i="2"/>
  <c r="S54" i="2" s="1"/>
  <c r="AD54" i="2"/>
  <c r="AC54" i="2"/>
  <c r="AB54" i="2"/>
  <c r="AA54" i="2"/>
  <c r="Q54" i="2"/>
  <c r="P54" i="2"/>
  <c r="O54" i="2"/>
  <c r="M54" i="2"/>
  <c r="L54" i="2"/>
  <c r="K54" i="2"/>
  <c r="I54" i="2"/>
  <c r="H54" i="2"/>
  <c r="G54" i="2"/>
  <c r="U16" i="2"/>
  <c r="U47" i="2" s="1"/>
  <c r="T16" i="2"/>
  <c r="T47" i="2" s="1"/>
  <c r="S16" i="2"/>
  <c r="S47" i="2" s="1"/>
  <c r="U46" i="2"/>
  <c r="T46" i="2"/>
  <c r="S46" i="2"/>
  <c r="T45" i="2"/>
  <c r="U17" i="2"/>
  <c r="T17" i="2"/>
  <c r="S17" i="2"/>
  <c r="S48" i="2" s="1"/>
  <c r="U48" i="2"/>
  <c r="T48" i="2"/>
  <c r="U45" i="2"/>
  <c r="S45" i="2"/>
  <c r="U44" i="2"/>
  <c r="T44" i="2"/>
  <c r="S13" i="2"/>
  <c r="R17" i="2"/>
  <c r="V17" i="2" s="1"/>
  <c r="V48" i="2" s="1"/>
  <c r="R16" i="2"/>
  <c r="V16" i="2" s="1"/>
  <c r="V47" i="2" s="1"/>
  <c r="R15" i="2"/>
  <c r="V15" i="2" s="1"/>
  <c r="V46" i="2" s="1"/>
  <c r="R14" i="2"/>
  <c r="V14" i="2" s="1"/>
  <c r="V45" i="2" s="1"/>
  <c r="R13" i="2"/>
  <c r="V13" i="2" s="1"/>
  <c r="V44" i="2" s="1"/>
  <c r="R35" i="2"/>
  <c r="R32" i="2"/>
  <c r="R31" i="2"/>
  <c r="R30" i="2"/>
  <c r="R29" i="2"/>
  <c r="R26" i="2"/>
  <c r="V26" i="2" s="1"/>
  <c r="R25" i="2"/>
  <c r="V25" i="2" s="1"/>
  <c r="R24" i="2"/>
  <c r="R21" i="2"/>
  <c r="R20" i="2"/>
  <c r="R19" i="2"/>
  <c r="R41" i="2"/>
  <c r="R42" i="2"/>
  <c r="J7" i="2"/>
  <c r="N7" i="2"/>
  <c r="R7" i="2"/>
  <c r="AD11" i="2"/>
  <c r="AC11" i="2"/>
  <c r="AB11" i="2"/>
  <c r="AD7" i="2"/>
  <c r="AC7" i="2"/>
  <c r="AB7" i="2"/>
  <c r="AD27" i="2"/>
  <c r="AD36" i="2"/>
  <c r="D7" i="1"/>
  <c r="D6" i="1"/>
  <c r="O42" i="2"/>
  <c r="N42" i="2"/>
  <c r="T27" i="2" l="1"/>
  <c r="S18" i="2"/>
  <c r="S23" i="2" s="1"/>
  <c r="S51" i="2" s="1"/>
  <c r="V54" i="2"/>
  <c r="V27" i="2"/>
  <c r="T54" i="2"/>
  <c r="AE17" i="2"/>
  <c r="S44" i="2"/>
  <c r="AE13" i="2"/>
  <c r="AF13" i="2" s="1"/>
  <c r="S27" i="2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E14" i="2"/>
  <c r="AE15" i="2"/>
  <c r="AF15" i="2" s="1"/>
  <c r="AE16" i="2"/>
  <c r="V55" i="2"/>
  <c r="U55" i="2"/>
  <c r="T18" i="2"/>
  <c r="V18" i="2"/>
  <c r="U18" i="2"/>
  <c r="P42" i="2"/>
  <c r="S22" i="2" l="1"/>
  <c r="S53" i="2"/>
  <c r="S52" i="2"/>
  <c r="S28" i="2"/>
  <c r="S56" i="2" s="1"/>
  <c r="U52" i="2"/>
  <c r="U23" i="2"/>
  <c r="U28" i="2" s="1"/>
  <c r="U53" i="2"/>
  <c r="V23" i="2"/>
  <c r="V28" i="2" s="1"/>
  <c r="V53" i="2"/>
  <c r="V52" i="2"/>
  <c r="T52" i="2"/>
  <c r="T23" i="2"/>
  <c r="T53" i="2"/>
  <c r="Q42" i="2"/>
  <c r="D4" i="1"/>
  <c r="Q18" i="2"/>
  <c r="U49" i="2" s="1"/>
  <c r="V56" i="2" l="1"/>
  <c r="U56" i="2"/>
  <c r="T22" i="2"/>
  <c r="T28" i="2"/>
  <c r="U50" i="2"/>
  <c r="U51" i="2"/>
  <c r="U22" i="2"/>
  <c r="V51" i="2"/>
  <c r="T51" i="2"/>
  <c r="V22" i="2"/>
  <c r="G3" i="1"/>
  <c r="AE22" i="2" l="1"/>
  <c r="T56" i="2"/>
  <c r="R33" i="2"/>
  <c r="V33" i="2" s="1"/>
  <c r="V34" i="2" s="1"/>
  <c r="Q33" i="2"/>
  <c r="U33" i="2" s="1"/>
  <c r="U34" i="2" s="1"/>
  <c r="Q55" i="2"/>
  <c r="M50" i="2"/>
  <c r="G50" i="2"/>
  <c r="Q48" i="2"/>
  <c r="Q45" i="2"/>
  <c r="M55" i="2"/>
  <c r="L55" i="2"/>
  <c r="K55" i="2"/>
  <c r="H55" i="2"/>
  <c r="G55" i="2"/>
  <c r="M53" i="2"/>
  <c r="I53" i="2"/>
  <c r="G53" i="2"/>
  <c r="C53" i="2"/>
  <c r="M52" i="2"/>
  <c r="I52" i="2"/>
  <c r="G52" i="2"/>
  <c r="C52" i="2"/>
  <c r="M49" i="2"/>
  <c r="G49" i="2"/>
  <c r="M48" i="2"/>
  <c r="L48" i="2"/>
  <c r="K48" i="2"/>
  <c r="M46" i="2"/>
  <c r="L46" i="2"/>
  <c r="K46" i="2"/>
  <c r="M45" i="2"/>
  <c r="L45" i="2"/>
  <c r="K45" i="2"/>
  <c r="M44" i="2"/>
  <c r="L44" i="2"/>
  <c r="K44" i="2"/>
  <c r="H48" i="2"/>
  <c r="G48" i="2"/>
  <c r="H46" i="2"/>
  <c r="G46" i="2"/>
  <c r="H45" i="2"/>
  <c r="G45" i="2"/>
  <c r="H44" i="2"/>
  <c r="G44" i="2"/>
  <c r="C16" i="2"/>
  <c r="G16" i="2"/>
  <c r="K47" i="2" s="1"/>
  <c r="C36" i="2"/>
  <c r="C33" i="2"/>
  <c r="C27" i="2"/>
  <c r="C22" i="2"/>
  <c r="C23" i="2" s="1"/>
  <c r="C51" i="2" s="1"/>
  <c r="G36" i="2"/>
  <c r="G33" i="2"/>
  <c r="G27" i="2"/>
  <c r="G22" i="2"/>
  <c r="D16" i="2"/>
  <c r="D18" i="2" s="1"/>
  <c r="H16" i="2"/>
  <c r="L47" i="2" s="1"/>
  <c r="D36" i="2"/>
  <c r="D33" i="2"/>
  <c r="D27" i="2"/>
  <c r="D22" i="2"/>
  <c r="H36" i="2"/>
  <c r="H33" i="2"/>
  <c r="H27" i="2"/>
  <c r="H22" i="2"/>
  <c r="I16" i="2"/>
  <c r="M16" i="2"/>
  <c r="I36" i="2"/>
  <c r="I33" i="2"/>
  <c r="I27" i="2"/>
  <c r="I22" i="2"/>
  <c r="I23" i="2" s="1"/>
  <c r="I51" i="2" s="1"/>
  <c r="M36" i="2"/>
  <c r="M33" i="2"/>
  <c r="M27" i="2"/>
  <c r="M22" i="2"/>
  <c r="M23" i="2" s="1"/>
  <c r="M51" i="2" s="1"/>
  <c r="J35" i="2"/>
  <c r="J32" i="2"/>
  <c r="J31" i="2"/>
  <c r="J30" i="2"/>
  <c r="J29" i="2"/>
  <c r="J26" i="2"/>
  <c r="J25" i="2"/>
  <c r="J54" i="2" s="1"/>
  <c r="J24" i="2"/>
  <c r="J21" i="2"/>
  <c r="J20" i="2"/>
  <c r="J19" i="2"/>
  <c r="J17" i="2"/>
  <c r="J15" i="2"/>
  <c r="J14" i="2"/>
  <c r="J13" i="2"/>
  <c r="N35" i="2"/>
  <c r="N32" i="2"/>
  <c r="N31" i="2"/>
  <c r="N30" i="2"/>
  <c r="N29" i="2"/>
  <c r="N26" i="2"/>
  <c r="N25" i="2"/>
  <c r="N24" i="2"/>
  <c r="N21" i="2"/>
  <c r="N20" i="2"/>
  <c r="N19" i="2"/>
  <c r="N17" i="2"/>
  <c r="N15" i="2"/>
  <c r="N14" i="2"/>
  <c r="N13" i="2"/>
  <c r="AC45" i="2"/>
  <c r="AB45" i="2"/>
  <c r="AC44" i="2"/>
  <c r="AB44" i="2"/>
  <c r="AA44" i="2"/>
  <c r="P45" i="2"/>
  <c r="P44" i="2"/>
  <c r="O44" i="2"/>
  <c r="P48" i="2"/>
  <c r="O48" i="2"/>
  <c r="P47" i="2"/>
  <c r="O47" i="2"/>
  <c r="P46" i="2"/>
  <c r="O46" i="2"/>
  <c r="O45" i="2"/>
  <c r="AB48" i="2"/>
  <c r="AA48" i="2"/>
  <c r="AB46" i="2"/>
  <c r="AA46" i="2"/>
  <c r="AA45" i="2"/>
  <c r="AC48" i="2"/>
  <c r="AC46" i="2"/>
  <c r="AB16" i="2"/>
  <c r="AB18" i="2" s="1"/>
  <c r="AB53" i="2" s="1"/>
  <c r="AC16" i="2"/>
  <c r="AC18" i="2" s="1"/>
  <c r="AC52" i="2" s="1"/>
  <c r="Z16" i="2"/>
  <c r="Z18" i="2" s="1"/>
  <c r="Z53" i="2" s="1"/>
  <c r="AA16" i="2"/>
  <c r="AA18" i="2" s="1"/>
  <c r="AA52" i="2" s="1"/>
  <c r="AC55" i="2"/>
  <c r="AB55" i="2"/>
  <c r="AA55" i="2"/>
  <c r="Z36" i="2"/>
  <c r="Z33" i="2"/>
  <c r="Z27" i="2"/>
  <c r="Z22" i="2"/>
  <c r="AA36" i="2"/>
  <c r="AA33" i="2"/>
  <c r="AA27" i="2"/>
  <c r="AA22" i="2"/>
  <c r="AB36" i="2"/>
  <c r="AB33" i="2"/>
  <c r="AB27" i="2"/>
  <c r="AB22" i="2"/>
  <c r="AC36" i="2"/>
  <c r="AC33" i="2"/>
  <c r="AC27" i="2"/>
  <c r="AC22" i="2"/>
  <c r="K18" i="2"/>
  <c r="K49" i="2" s="1"/>
  <c r="O18" i="2"/>
  <c r="K36" i="2"/>
  <c r="K33" i="2"/>
  <c r="K27" i="2"/>
  <c r="K22" i="2"/>
  <c r="O55" i="2"/>
  <c r="O36" i="2"/>
  <c r="O33" i="2"/>
  <c r="S33" i="2" s="1"/>
  <c r="O27" i="2"/>
  <c r="O22" i="2"/>
  <c r="L36" i="2"/>
  <c r="P36" i="2"/>
  <c r="P55" i="2"/>
  <c r="P18" i="2"/>
  <c r="L18" i="2"/>
  <c r="L33" i="2"/>
  <c r="L27" i="2"/>
  <c r="L22" i="2"/>
  <c r="P33" i="2"/>
  <c r="T33" i="2" s="1"/>
  <c r="T34" i="2" s="1"/>
  <c r="P27" i="2"/>
  <c r="P22" i="2"/>
  <c r="D8" i="1"/>
  <c r="AS48" i="2" s="1"/>
  <c r="D5" i="1"/>
  <c r="U36" i="2" l="1"/>
  <c r="U58" i="2" s="1"/>
  <c r="U35" i="2"/>
  <c r="U57" i="2" s="1"/>
  <c r="V36" i="2"/>
  <c r="V58" i="2" s="1"/>
  <c r="V35" i="2"/>
  <c r="V57" i="2" s="1"/>
  <c r="R54" i="2"/>
  <c r="N54" i="2"/>
  <c r="AE33" i="2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S34" i="2"/>
  <c r="T35" i="2"/>
  <c r="T36" i="2"/>
  <c r="AF54" i="2"/>
  <c r="P53" i="2"/>
  <c r="T49" i="2"/>
  <c r="T50" i="2"/>
  <c r="O52" i="2"/>
  <c r="S49" i="2"/>
  <c r="S50" i="2"/>
  <c r="R36" i="2"/>
  <c r="D9" i="1"/>
  <c r="P50" i="2"/>
  <c r="N44" i="2"/>
  <c r="N45" i="2"/>
  <c r="N55" i="2"/>
  <c r="H18" i="2"/>
  <c r="H52" i="2" s="1"/>
  <c r="AC50" i="2"/>
  <c r="AF17" i="2"/>
  <c r="AG17" i="2" s="1"/>
  <c r="AH17" i="2" s="1"/>
  <c r="AI17" i="2" s="1"/>
  <c r="AJ17" i="2" s="1"/>
  <c r="AK17" i="2" s="1"/>
  <c r="AL17" i="2" s="1"/>
  <c r="AM17" i="2" s="1"/>
  <c r="AN17" i="2" s="1"/>
  <c r="AO17" i="2" s="1"/>
  <c r="O50" i="2"/>
  <c r="M47" i="2"/>
  <c r="K50" i="2"/>
  <c r="AA50" i="2"/>
  <c r="AB50" i="2"/>
  <c r="R27" i="2"/>
  <c r="AF19" i="2"/>
  <c r="AG19" i="2" s="1"/>
  <c r="AH19" i="2" s="1"/>
  <c r="AI19" i="2" s="1"/>
  <c r="AJ19" i="2" s="1"/>
  <c r="AK19" i="2" s="1"/>
  <c r="AL19" i="2" s="1"/>
  <c r="AM19" i="2" s="1"/>
  <c r="AN19" i="2" s="1"/>
  <c r="AO19" i="2" s="1"/>
  <c r="Q27" i="2"/>
  <c r="D53" i="2"/>
  <c r="D52" i="2"/>
  <c r="K52" i="2"/>
  <c r="Q46" i="2"/>
  <c r="N46" i="2"/>
  <c r="N48" i="2"/>
  <c r="L52" i="2"/>
  <c r="G47" i="2"/>
  <c r="K53" i="2"/>
  <c r="H47" i="2"/>
  <c r="L53" i="2"/>
  <c r="Q44" i="2"/>
  <c r="C28" i="2"/>
  <c r="G23" i="2"/>
  <c r="D23" i="2"/>
  <c r="N36" i="2"/>
  <c r="AD33" i="2"/>
  <c r="J36" i="2"/>
  <c r="N16" i="2"/>
  <c r="J16" i="2"/>
  <c r="J18" i="2" s="1"/>
  <c r="J52" i="2" s="1"/>
  <c r="I28" i="2"/>
  <c r="M28" i="2"/>
  <c r="J33" i="2"/>
  <c r="J27" i="2"/>
  <c r="J22" i="2"/>
  <c r="N33" i="2"/>
  <c r="N27" i="2"/>
  <c r="N22" i="2"/>
  <c r="AA47" i="2"/>
  <c r="AB47" i="2"/>
  <c r="AC47" i="2"/>
  <c r="Z23" i="2"/>
  <c r="Z51" i="2" s="1"/>
  <c r="Z52" i="2"/>
  <c r="AB52" i="2"/>
  <c r="AB23" i="2"/>
  <c r="AB51" i="2" s="1"/>
  <c r="AC53" i="2"/>
  <c r="AC23" i="2"/>
  <c r="AC51" i="2" s="1"/>
  <c r="AC49" i="2"/>
  <c r="AB49" i="2"/>
  <c r="AA23" i="2"/>
  <c r="AA51" i="2" s="1"/>
  <c r="AA49" i="2"/>
  <c r="AA53" i="2"/>
  <c r="O53" i="2"/>
  <c r="P52" i="2"/>
  <c r="O49" i="2"/>
  <c r="K23" i="2"/>
  <c r="K51" i="2" s="1"/>
  <c r="O23" i="2"/>
  <c r="O51" i="2" s="1"/>
  <c r="P49" i="2"/>
  <c r="P23" i="2"/>
  <c r="P51" i="2" s="1"/>
  <c r="L23" i="2"/>
  <c r="L51" i="2" s="1"/>
  <c r="V37" i="2" l="1"/>
  <c r="V39" i="2" s="1"/>
  <c r="U37" i="2"/>
  <c r="U39" i="2" s="1"/>
  <c r="S35" i="2"/>
  <c r="S57" i="2" s="1"/>
  <c r="S36" i="2"/>
  <c r="S58" i="2" s="1"/>
  <c r="S37" i="2"/>
  <c r="T57" i="2"/>
  <c r="T37" i="2"/>
  <c r="T58" i="2"/>
  <c r="AG54" i="2"/>
  <c r="L50" i="2"/>
  <c r="H23" i="2"/>
  <c r="H51" i="2" s="1"/>
  <c r="R55" i="2"/>
  <c r="H50" i="2"/>
  <c r="H49" i="2"/>
  <c r="H53" i="2"/>
  <c r="AF48" i="2"/>
  <c r="L49" i="2"/>
  <c r="Q49" i="2"/>
  <c r="Q50" i="2"/>
  <c r="Q52" i="2"/>
  <c r="J53" i="2"/>
  <c r="AG15" i="2"/>
  <c r="AH15" i="2" s="1"/>
  <c r="AI15" i="2" s="1"/>
  <c r="AJ15" i="2" s="1"/>
  <c r="AK15" i="2" s="1"/>
  <c r="AL15" i="2" s="1"/>
  <c r="AM15" i="2" s="1"/>
  <c r="AN15" i="2" s="1"/>
  <c r="AO15" i="2" s="1"/>
  <c r="AG48" i="2"/>
  <c r="M34" i="2"/>
  <c r="M56" i="2"/>
  <c r="G28" i="2"/>
  <c r="G51" i="2"/>
  <c r="I34" i="2"/>
  <c r="I56" i="2"/>
  <c r="D28" i="2"/>
  <c r="D51" i="2"/>
  <c r="N18" i="2"/>
  <c r="N50" i="2" s="1"/>
  <c r="N47" i="2"/>
  <c r="C34" i="2"/>
  <c r="C56" i="2"/>
  <c r="Q47" i="2"/>
  <c r="J23" i="2"/>
  <c r="AA28" i="2"/>
  <c r="AA56" i="2" s="1"/>
  <c r="Z28" i="2"/>
  <c r="Z56" i="2" s="1"/>
  <c r="AB28" i="2"/>
  <c r="AB56" i="2" s="1"/>
  <c r="AC28" i="2"/>
  <c r="AC56" i="2" s="1"/>
  <c r="K28" i="2"/>
  <c r="K56" i="2" s="1"/>
  <c r="O28" i="2"/>
  <c r="O56" i="2" s="1"/>
  <c r="P28" i="2"/>
  <c r="P56" i="2" s="1"/>
  <c r="L28" i="2"/>
  <c r="V59" i="2" l="1"/>
  <c r="AE35" i="2"/>
  <c r="U59" i="2"/>
  <c r="S39" i="2"/>
  <c r="S59" i="2"/>
  <c r="AE36" i="2"/>
  <c r="T39" i="2"/>
  <c r="T59" i="2"/>
  <c r="AH54" i="2"/>
  <c r="H28" i="2"/>
  <c r="H34" i="2" s="1"/>
  <c r="N23" i="2"/>
  <c r="N51" i="2" s="1"/>
  <c r="Q53" i="2"/>
  <c r="Q22" i="2"/>
  <c r="Q23" i="2" s="1"/>
  <c r="AD55" i="2"/>
  <c r="AH48" i="2"/>
  <c r="I37" i="2"/>
  <c r="I57" i="2"/>
  <c r="I58" i="2"/>
  <c r="J28" i="2"/>
  <c r="J51" i="2"/>
  <c r="G34" i="2"/>
  <c r="G56" i="2"/>
  <c r="M37" i="2"/>
  <c r="M57" i="2"/>
  <c r="M58" i="2"/>
  <c r="D34" i="2"/>
  <c r="D56" i="2"/>
  <c r="L34" i="2"/>
  <c r="L37" i="2" s="1"/>
  <c r="L59" i="2" s="1"/>
  <c r="L56" i="2"/>
  <c r="N49" i="2"/>
  <c r="N52" i="2"/>
  <c r="N53" i="2"/>
  <c r="C37" i="2"/>
  <c r="C57" i="2"/>
  <c r="C58" i="2"/>
  <c r="Z34" i="2"/>
  <c r="AA34" i="2"/>
  <c r="AC34" i="2"/>
  <c r="AB34" i="2"/>
  <c r="AB58" i="2" s="1"/>
  <c r="K34" i="2"/>
  <c r="O34" i="2"/>
  <c r="P34" i="2"/>
  <c r="AI54" i="2" l="1"/>
  <c r="H56" i="2"/>
  <c r="AF44" i="2"/>
  <c r="AG13" i="2"/>
  <c r="N28" i="2"/>
  <c r="N34" i="2" s="1"/>
  <c r="Q28" i="2"/>
  <c r="Q51" i="2"/>
  <c r="AE55" i="2"/>
  <c r="AF16" i="2"/>
  <c r="AF46" i="2"/>
  <c r="AI48" i="2"/>
  <c r="K57" i="2"/>
  <c r="K58" i="2"/>
  <c r="H37" i="2"/>
  <c r="H57" i="2"/>
  <c r="H58" i="2"/>
  <c r="M39" i="2"/>
  <c r="M59" i="2"/>
  <c r="J34" i="2"/>
  <c r="J56" i="2"/>
  <c r="AD50" i="2"/>
  <c r="L57" i="2"/>
  <c r="L58" i="2"/>
  <c r="C39" i="2"/>
  <c r="C59" i="2"/>
  <c r="G37" i="2"/>
  <c r="G57" i="2"/>
  <c r="G58" i="2"/>
  <c r="D37" i="2"/>
  <c r="D57" i="2"/>
  <c r="D58" i="2"/>
  <c r="I39" i="2"/>
  <c r="I59" i="2"/>
  <c r="O37" i="2"/>
  <c r="O59" i="2" s="1"/>
  <c r="O58" i="2"/>
  <c r="AC37" i="2"/>
  <c r="AC58" i="2"/>
  <c r="P57" i="2"/>
  <c r="P58" i="2"/>
  <c r="AA57" i="2"/>
  <c r="AA58" i="2"/>
  <c r="Z37" i="2"/>
  <c r="Z58" i="2"/>
  <c r="AC57" i="2"/>
  <c r="Z57" i="2"/>
  <c r="AA37" i="2"/>
  <c r="AB57" i="2"/>
  <c r="AB37" i="2"/>
  <c r="AB61" i="2" s="1"/>
  <c r="K37" i="2"/>
  <c r="K59" i="2" s="1"/>
  <c r="P37" i="2"/>
  <c r="P59" i="2" s="1"/>
  <c r="O57" i="2"/>
  <c r="L39" i="2"/>
  <c r="AC59" i="2" l="1"/>
  <c r="AC61" i="2"/>
  <c r="AA39" i="2"/>
  <c r="AA61" i="2"/>
  <c r="Z59" i="2"/>
  <c r="Z61" i="2"/>
  <c r="AJ54" i="2"/>
  <c r="AG44" i="2"/>
  <c r="N56" i="2"/>
  <c r="AH13" i="2"/>
  <c r="AC39" i="2"/>
  <c r="AG46" i="2"/>
  <c r="R22" i="2"/>
  <c r="AG16" i="2"/>
  <c r="AF47" i="2"/>
  <c r="AF55" i="2"/>
  <c r="Q34" i="2"/>
  <c r="Q56" i="2"/>
  <c r="AJ48" i="2"/>
  <c r="G39" i="2"/>
  <c r="G59" i="2"/>
  <c r="AD49" i="2"/>
  <c r="AD53" i="2"/>
  <c r="H39" i="2"/>
  <c r="H59" i="2"/>
  <c r="D39" i="2"/>
  <c r="D59" i="2"/>
  <c r="N37" i="2"/>
  <c r="N57" i="2"/>
  <c r="N58" i="2"/>
  <c r="J37" i="2"/>
  <c r="J57" i="2"/>
  <c r="J58" i="2"/>
  <c r="O39" i="2"/>
  <c r="Z39" i="2"/>
  <c r="AA59" i="2"/>
  <c r="AB39" i="2"/>
  <c r="AB59" i="2"/>
  <c r="K39" i="2"/>
  <c r="P39" i="2"/>
  <c r="AK54" i="2" l="1"/>
  <c r="AH44" i="2"/>
  <c r="AI13" i="2"/>
  <c r="AG55" i="2"/>
  <c r="AH46" i="2"/>
  <c r="AH16" i="2"/>
  <c r="AG47" i="2"/>
  <c r="Q58" i="2"/>
  <c r="Q57" i="2"/>
  <c r="AK48" i="2"/>
  <c r="N39" i="2"/>
  <c r="N59" i="2"/>
  <c r="J39" i="2"/>
  <c r="J59" i="2"/>
  <c r="AD52" i="2"/>
  <c r="AD22" i="2"/>
  <c r="AD23" i="2" s="1"/>
  <c r="AL54" i="2" l="1"/>
  <c r="AJ13" i="2"/>
  <c r="AI44" i="2"/>
  <c r="AI46" i="2"/>
  <c r="AI16" i="2"/>
  <c r="AH47" i="2"/>
  <c r="Q37" i="2"/>
  <c r="AH55" i="2"/>
  <c r="AL48" i="2"/>
  <c r="AD51" i="2"/>
  <c r="AD28" i="2"/>
  <c r="AM54" i="2" l="1"/>
  <c r="AJ44" i="2"/>
  <c r="AK13" i="2"/>
  <c r="AJ46" i="2"/>
  <c r="AI55" i="2"/>
  <c r="Q39" i="2"/>
  <c r="Q59" i="2"/>
  <c r="AJ16" i="2"/>
  <c r="AI47" i="2"/>
  <c r="AM48" i="2"/>
  <c r="AD34" i="2"/>
  <c r="AD56" i="2"/>
  <c r="AO54" i="2" l="1"/>
  <c r="AN54" i="2"/>
  <c r="AK44" i="2"/>
  <c r="AL13" i="2"/>
  <c r="AK16" i="2"/>
  <c r="AJ47" i="2"/>
  <c r="AK46" i="2"/>
  <c r="AD57" i="2"/>
  <c r="AD58" i="2"/>
  <c r="AJ55" i="2"/>
  <c r="AO48" i="2"/>
  <c r="AN48" i="2"/>
  <c r="AD37" i="2" l="1"/>
  <c r="AD61" i="2" s="1"/>
  <c r="AM13" i="2"/>
  <c r="AL44" i="2"/>
  <c r="AL46" i="2"/>
  <c r="AK55" i="2"/>
  <c r="AL16" i="2"/>
  <c r="AK47" i="2"/>
  <c r="AM44" i="2" l="1"/>
  <c r="AN13" i="2"/>
  <c r="AO13" i="2" s="1"/>
  <c r="AM16" i="2"/>
  <c r="AL47" i="2"/>
  <c r="AL55" i="2"/>
  <c r="AM46" i="2"/>
  <c r="AD59" i="2"/>
  <c r="AD39" i="2"/>
  <c r="AN44" i="2" l="1"/>
  <c r="AO44" i="2"/>
  <c r="AN46" i="2"/>
  <c r="AM55" i="2"/>
  <c r="AN16" i="2"/>
  <c r="AM47" i="2"/>
  <c r="AO46" i="2" l="1"/>
  <c r="AO16" i="2"/>
  <c r="AN47" i="2"/>
  <c r="AN55" i="2"/>
  <c r="AO55" i="2" l="1"/>
  <c r="AO47" i="2"/>
  <c r="AF14" i="2" l="1"/>
  <c r="AE18" i="2"/>
  <c r="R18" i="2"/>
  <c r="R47" i="2"/>
  <c r="R45" i="2"/>
  <c r="R44" i="2"/>
  <c r="R46" i="2"/>
  <c r="R48" i="2"/>
  <c r="AE44" i="2"/>
  <c r="AD45" i="2"/>
  <c r="AE45" i="2"/>
  <c r="AE46" i="2"/>
  <c r="AD46" i="2"/>
  <c r="AD47" i="2"/>
  <c r="AD48" i="2"/>
  <c r="R50" i="2" l="1"/>
  <c r="V50" i="2"/>
  <c r="V49" i="2"/>
  <c r="R53" i="2"/>
  <c r="R23" i="2"/>
  <c r="AG14" i="2"/>
  <c r="AF45" i="2"/>
  <c r="AF18" i="2"/>
  <c r="AE50" i="2"/>
  <c r="AE53" i="2"/>
  <c r="AE49" i="2"/>
  <c r="AE48" i="2"/>
  <c r="AE47" i="2"/>
  <c r="AD44" i="2"/>
  <c r="R49" i="2"/>
  <c r="R52" i="2"/>
  <c r="AF49" i="2" l="1"/>
  <c r="AF20" i="2"/>
  <c r="AF21" i="2"/>
  <c r="AF53" i="2" s="1"/>
  <c r="AF50" i="2"/>
  <c r="R28" i="2"/>
  <c r="R51" i="2"/>
  <c r="AG45" i="2"/>
  <c r="AH14" i="2"/>
  <c r="AG18" i="2"/>
  <c r="AE52" i="2"/>
  <c r="AE23" i="2"/>
  <c r="AG21" i="2" l="1"/>
  <c r="AG53" i="2" s="1"/>
  <c r="AG20" i="2"/>
  <c r="R34" i="2"/>
  <c r="R56" i="2"/>
  <c r="AF22" i="2"/>
  <c r="AF23" i="2" s="1"/>
  <c r="AF52" i="2"/>
  <c r="AG50" i="2"/>
  <c r="AG49" i="2"/>
  <c r="AI14" i="2"/>
  <c r="AH45" i="2"/>
  <c r="AH18" i="2"/>
  <c r="AE28" i="2"/>
  <c r="AE51" i="2"/>
  <c r="AH21" i="2" l="1"/>
  <c r="AH53" i="2" s="1"/>
  <c r="AH20" i="2"/>
  <c r="R37" i="2"/>
  <c r="R58" i="2"/>
  <c r="R57" i="2"/>
  <c r="AH50" i="2"/>
  <c r="AH49" i="2"/>
  <c r="AF28" i="2"/>
  <c r="AF51" i="2"/>
  <c r="AJ14" i="2"/>
  <c r="AI45" i="2"/>
  <c r="AI18" i="2"/>
  <c r="AG22" i="2"/>
  <c r="AG23" i="2" s="1"/>
  <c r="AG52" i="2"/>
  <c r="AE34" i="2"/>
  <c r="AE56" i="2"/>
  <c r="AI21" i="2" l="1"/>
  <c r="AI53" i="2" s="1"/>
  <c r="AI20" i="2"/>
  <c r="R59" i="2"/>
  <c r="R39" i="2"/>
  <c r="AG28" i="2"/>
  <c r="AG51" i="2"/>
  <c r="AF34" i="2"/>
  <c r="AF35" i="2" s="1"/>
  <c r="AF56" i="2"/>
  <c r="AH52" i="2"/>
  <c r="AH22" i="2"/>
  <c r="AH23" i="2" s="1"/>
  <c r="AI50" i="2"/>
  <c r="AI49" i="2"/>
  <c r="AK14" i="2"/>
  <c r="AJ45" i="2"/>
  <c r="AJ18" i="2"/>
  <c r="AE57" i="2"/>
  <c r="AE58" i="2"/>
  <c r="AJ21" i="2" l="1"/>
  <c r="AJ53" i="2" s="1"/>
  <c r="AJ20" i="2"/>
  <c r="AE37" i="2"/>
  <c r="AE61" i="2" s="1"/>
  <c r="AE62" i="2" s="1"/>
  <c r="AE74" i="2" s="1"/>
  <c r="AE76" i="2" s="1"/>
  <c r="AH28" i="2"/>
  <c r="AH51" i="2"/>
  <c r="AJ50" i="2"/>
  <c r="AJ49" i="2"/>
  <c r="AL14" i="2"/>
  <c r="AK45" i="2"/>
  <c r="AK18" i="2"/>
  <c r="AF57" i="2"/>
  <c r="AF36" i="2"/>
  <c r="AF58" i="2" s="1"/>
  <c r="AI52" i="2"/>
  <c r="AI22" i="2"/>
  <c r="AI23" i="2" s="1"/>
  <c r="AG34" i="2"/>
  <c r="AG35" i="2" s="1"/>
  <c r="AG56" i="2"/>
  <c r="AK20" i="2" l="1"/>
  <c r="AK21" i="2"/>
  <c r="AK53" i="2" s="1"/>
  <c r="AE39" i="2"/>
  <c r="AE59" i="2"/>
  <c r="AF37" i="2"/>
  <c r="AF61" i="2" s="1"/>
  <c r="AF62" i="2" s="1"/>
  <c r="AF74" i="2" s="1"/>
  <c r="AF76" i="2" s="1"/>
  <c r="AG57" i="2"/>
  <c r="AG36" i="2"/>
  <c r="AG58" i="2" s="1"/>
  <c r="AM14" i="2"/>
  <c r="AL45" i="2"/>
  <c r="AL18" i="2"/>
  <c r="AI51" i="2"/>
  <c r="AI28" i="2"/>
  <c r="AJ52" i="2"/>
  <c r="AJ22" i="2"/>
  <c r="AJ23" i="2" s="1"/>
  <c r="AK50" i="2"/>
  <c r="AK49" i="2"/>
  <c r="AH34" i="2"/>
  <c r="AH35" i="2" s="1"/>
  <c r="AH56" i="2"/>
  <c r="AF39" i="2" l="1"/>
  <c r="AL21" i="2"/>
  <c r="AL53" i="2" s="1"/>
  <c r="AL20" i="2"/>
  <c r="AG37" i="2"/>
  <c r="AG61" i="2" s="1"/>
  <c r="AG62" i="2" s="1"/>
  <c r="AG74" i="2" s="1"/>
  <c r="AG76" i="2" s="1"/>
  <c r="AF59" i="2"/>
  <c r="AI56" i="2"/>
  <c r="AI34" i="2"/>
  <c r="AI35" i="2" s="1"/>
  <c r="AH57" i="2"/>
  <c r="AH36" i="2"/>
  <c r="AH58" i="2" s="1"/>
  <c r="AL50" i="2"/>
  <c r="AL49" i="2"/>
  <c r="AK22" i="2"/>
  <c r="AK23" i="2" s="1"/>
  <c r="AK52" i="2"/>
  <c r="AJ51" i="2"/>
  <c r="AJ28" i="2"/>
  <c r="AN14" i="2"/>
  <c r="AM45" i="2"/>
  <c r="AM18" i="2"/>
  <c r="AG59" i="2" l="1"/>
  <c r="AM20" i="2"/>
  <c r="AM21" i="2"/>
  <c r="AM53" i="2" s="1"/>
  <c r="AG39" i="2"/>
  <c r="AH37" i="2"/>
  <c r="AH61" i="2" s="1"/>
  <c r="AH62" i="2" s="1"/>
  <c r="AH74" i="2" s="1"/>
  <c r="AH76" i="2" s="1"/>
  <c r="AL52" i="2"/>
  <c r="AL22" i="2"/>
  <c r="AL23" i="2" s="1"/>
  <c r="AO14" i="2"/>
  <c r="AN45" i="2"/>
  <c r="AN18" i="2"/>
  <c r="AJ56" i="2"/>
  <c r="AJ34" i="2"/>
  <c r="AJ35" i="2" s="1"/>
  <c r="AM50" i="2"/>
  <c r="AM49" i="2"/>
  <c r="AK51" i="2"/>
  <c r="AK28" i="2"/>
  <c r="AI36" i="2"/>
  <c r="AI58" i="2" s="1"/>
  <c r="AI57" i="2"/>
  <c r="AN20" i="2" l="1"/>
  <c r="AN21" i="2"/>
  <c r="AN53" i="2" s="1"/>
  <c r="AH59" i="2"/>
  <c r="AH39" i="2"/>
  <c r="AK56" i="2"/>
  <c r="AK34" i="2"/>
  <c r="AK35" i="2" s="1"/>
  <c r="AO45" i="2"/>
  <c r="AO18" i="2"/>
  <c r="AL28" i="2"/>
  <c r="AL51" i="2"/>
  <c r="AN50" i="2"/>
  <c r="AN49" i="2"/>
  <c r="AM22" i="2"/>
  <c r="AM23" i="2" s="1"/>
  <c r="AM52" i="2"/>
  <c r="AI37" i="2"/>
  <c r="AI61" i="2" s="1"/>
  <c r="AI62" i="2" s="1"/>
  <c r="AI74" i="2" s="1"/>
  <c r="AI76" i="2" s="1"/>
  <c r="AJ36" i="2"/>
  <c r="AJ58" i="2" s="1"/>
  <c r="AJ57" i="2"/>
  <c r="AO21" i="2" l="1"/>
  <c r="AO53" i="2" s="1"/>
  <c r="AO20" i="2"/>
  <c r="AJ37" i="2"/>
  <c r="AI59" i="2"/>
  <c r="AI39" i="2"/>
  <c r="AL56" i="2"/>
  <c r="AL34" i="2"/>
  <c r="AL35" i="2" s="1"/>
  <c r="AO50" i="2"/>
  <c r="AO49" i="2"/>
  <c r="AM51" i="2"/>
  <c r="AM28" i="2"/>
  <c r="AK36" i="2"/>
  <c r="AK58" i="2" s="1"/>
  <c r="AK57" i="2"/>
  <c r="AN22" i="2"/>
  <c r="AN23" i="2" s="1"/>
  <c r="AN52" i="2"/>
  <c r="AJ59" i="2" l="1"/>
  <c r="AJ61" i="2"/>
  <c r="AJ62" i="2" s="1"/>
  <c r="AJ74" i="2" s="1"/>
  <c r="AJ76" i="2" s="1"/>
  <c r="AJ39" i="2"/>
  <c r="AK37" i="2"/>
  <c r="AK61" i="2" s="1"/>
  <c r="AK62" i="2" s="1"/>
  <c r="AK74" i="2" s="1"/>
  <c r="AK76" i="2" s="1"/>
  <c r="AO52" i="2"/>
  <c r="AO22" i="2"/>
  <c r="AO23" i="2" s="1"/>
  <c r="AL57" i="2"/>
  <c r="AL36" i="2"/>
  <c r="AL58" i="2" s="1"/>
  <c r="AM56" i="2"/>
  <c r="AM34" i="2"/>
  <c r="AM35" i="2" s="1"/>
  <c r="AN28" i="2"/>
  <c r="AN51" i="2"/>
  <c r="AL37" i="2" l="1"/>
  <c r="AM57" i="2"/>
  <c r="AM36" i="2"/>
  <c r="AM58" i="2" s="1"/>
  <c r="AO51" i="2"/>
  <c r="AO28" i="2"/>
  <c r="AN56" i="2"/>
  <c r="AN34" i="2"/>
  <c r="AN35" i="2" s="1"/>
  <c r="AK39" i="2"/>
  <c r="AK59" i="2"/>
  <c r="AL39" i="2" l="1"/>
  <c r="AL61" i="2"/>
  <c r="AL62" i="2" s="1"/>
  <c r="AL74" i="2" s="1"/>
  <c r="AL76" i="2" s="1"/>
  <c r="AL59" i="2"/>
  <c r="AM37" i="2"/>
  <c r="AO56" i="2"/>
  <c r="AO34" i="2"/>
  <c r="AO35" i="2" s="1"/>
  <c r="AN36" i="2"/>
  <c r="AN58" i="2" s="1"/>
  <c r="AN57" i="2"/>
  <c r="AM59" i="2" l="1"/>
  <c r="AM61" i="2"/>
  <c r="AM62" i="2" s="1"/>
  <c r="AM74" i="2" s="1"/>
  <c r="AM76" i="2" s="1"/>
  <c r="AM39" i="2"/>
  <c r="AN37" i="2"/>
  <c r="AO57" i="2"/>
  <c r="AO36" i="2"/>
  <c r="AO58" i="2" s="1"/>
  <c r="AN39" i="2" l="1"/>
  <c r="AN61" i="2"/>
  <c r="AN62" i="2" s="1"/>
  <c r="AN74" i="2" s="1"/>
  <c r="AN76" i="2" s="1"/>
  <c r="AN59" i="2"/>
  <c r="AO37" i="2"/>
  <c r="AO61" i="2" s="1"/>
  <c r="AO62" i="2" s="1"/>
  <c r="AO74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BL76" i="2" s="1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BZ76" i="2" s="1"/>
  <c r="CA76" i="2" s="1"/>
  <c r="CB76" i="2" s="1"/>
  <c r="CC76" i="2" s="1"/>
  <c r="CD76" i="2" s="1"/>
  <c r="CE76" i="2" s="1"/>
  <c r="CF76" i="2" s="1"/>
  <c r="CG76" i="2" s="1"/>
  <c r="CH76" i="2" s="1"/>
  <c r="CI76" i="2" s="1"/>
  <c r="CJ76" i="2" s="1"/>
  <c r="CK76" i="2" s="1"/>
  <c r="CL76" i="2" s="1"/>
  <c r="CM76" i="2" s="1"/>
  <c r="CN76" i="2" s="1"/>
  <c r="CO76" i="2" s="1"/>
  <c r="CP76" i="2" s="1"/>
  <c r="CQ76" i="2" s="1"/>
  <c r="CR76" i="2" s="1"/>
  <c r="CS76" i="2" s="1"/>
  <c r="CT76" i="2" s="1"/>
  <c r="CU76" i="2" s="1"/>
  <c r="CV76" i="2" s="1"/>
  <c r="CW76" i="2" s="1"/>
  <c r="CX76" i="2" s="1"/>
  <c r="CY76" i="2" s="1"/>
  <c r="CZ76" i="2" s="1"/>
  <c r="DA76" i="2" s="1"/>
  <c r="DB76" i="2" s="1"/>
  <c r="DC76" i="2" s="1"/>
  <c r="DD76" i="2" s="1"/>
  <c r="DE76" i="2" s="1"/>
  <c r="DF76" i="2" s="1"/>
  <c r="DG76" i="2" s="1"/>
  <c r="DH76" i="2" s="1"/>
  <c r="DI76" i="2" s="1"/>
  <c r="DJ76" i="2" s="1"/>
  <c r="DK76" i="2" s="1"/>
  <c r="DL76" i="2" s="1"/>
  <c r="DM76" i="2" s="1"/>
  <c r="DN76" i="2" s="1"/>
  <c r="DO76" i="2" s="1"/>
  <c r="DP76" i="2" s="1"/>
  <c r="DQ76" i="2" s="1"/>
  <c r="DR76" i="2" s="1"/>
  <c r="DS76" i="2" s="1"/>
  <c r="DT76" i="2" s="1"/>
  <c r="DU76" i="2" s="1"/>
  <c r="DV76" i="2" s="1"/>
  <c r="DW76" i="2" s="1"/>
  <c r="DX76" i="2" s="1"/>
  <c r="DY76" i="2" s="1"/>
  <c r="DZ76" i="2" s="1"/>
  <c r="EA76" i="2" s="1"/>
  <c r="EB76" i="2" s="1"/>
  <c r="EC76" i="2" s="1"/>
  <c r="ED76" i="2" s="1"/>
  <c r="EE76" i="2" s="1"/>
  <c r="EF76" i="2" s="1"/>
  <c r="EG76" i="2" s="1"/>
  <c r="EH76" i="2" s="1"/>
  <c r="EI76" i="2" s="1"/>
  <c r="AS78" i="2" s="1"/>
  <c r="AS80" i="2" s="1"/>
  <c r="AS81" i="2" s="1"/>
  <c r="AS83" i="2" s="1"/>
  <c r="AO39" i="2" l="1"/>
  <c r="AP37" i="2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AO59" i="2"/>
  <c r="AS47" i="2" l="1"/>
  <c r="AS49" i="2" s="1"/>
  <c r="AS50" i="2" s="1"/>
  <c r="AS52" i="2" s="1"/>
</calcChain>
</file>

<file path=xl/sharedStrings.xml><?xml version="1.0" encoding="utf-8"?>
<sst xmlns="http://schemas.openxmlformats.org/spreadsheetml/2006/main" count="111" uniqueCount="107">
  <si>
    <t>RHM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</si>
  <si>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</si>
  <si>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</si>
  <si>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</si>
  <si>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</si>
  <si>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</si>
  <si>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</si>
  <si>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</si>
  <si>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</si>
  <si>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Inventory cost</t>
  </si>
  <si>
    <t>Cost of materials</t>
  </si>
  <si>
    <t>Personnel costs</t>
  </si>
  <si>
    <t>D&amp;A</t>
  </si>
  <si>
    <t>Other operating income</t>
  </si>
  <si>
    <t>Other operating expenses</t>
  </si>
  <si>
    <t>Investments</t>
  </si>
  <si>
    <t>Other financial income</t>
  </si>
  <si>
    <t>Interest income</t>
  </si>
  <si>
    <t>Interest expense</t>
  </si>
  <si>
    <t>Pretax profit</t>
  </si>
  <si>
    <t>Taxes</t>
  </si>
  <si>
    <t>Net profit</t>
  </si>
  <si>
    <t>EPS</t>
  </si>
  <si>
    <t>Gross profit</t>
  </si>
  <si>
    <t>Operating profit</t>
  </si>
  <si>
    <t>Total cost of sales</t>
  </si>
  <si>
    <t>Total operating expenses</t>
  </si>
  <si>
    <t>Net financial expense</t>
  </si>
  <si>
    <t>MI</t>
  </si>
  <si>
    <t>Q223</t>
  </si>
  <si>
    <t>Q123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</si>
  <si>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</si>
  <si>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</si>
  <si>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</si>
  <si>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</si>
  <si>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</si>
  <si>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</si>
  <si>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</si>
  <si>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</si>
  <si>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Operating Margin</t>
  </si>
  <si>
    <t>Net Margin</t>
  </si>
  <si>
    <t>Vehicle Systems revenue</t>
  </si>
  <si>
    <t>Weapon and Ammunition revenue</t>
  </si>
  <si>
    <t>Electronic Solutions revenue</t>
  </si>
  <si>
    <t>Power Systems revenue</t>
  </si>
  <si>
    <t>Other revenue</t>
  </si>
  <si>
    <t>Other operating expenses y/y</t>
  </si>
  <si>
    <t>Materials Margin</t>
  </si>
  <si>
    <t>Personnel Margin</t>
  </si>
  <si>
    <t>Q122</t>
  </si>
  <si>
    <t>Q222</t>
  </si>
  <si>
    <t>Q322</t>
  </si>
  <si>
    <t>Q422</t>
  </si>
  <si>
    <t>Vehicle Systems revenue y/y</t>
  </si>
  <si>
    <t>Weapon and Ammunition revenue y/y</t>
  </si>
  <si>
    <t>Electronic Solutions revenue y/y</t>
  </si>
  <si>
    <t>Power Systems revenue y/y</t>
  </si>
  <si>
    <t>Other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</si>
  <si>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</si>
  <si>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</si>
  <si>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</si>
  <si>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</si>
  <si>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</si>
  <si>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</si>
  <si>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</si>
  <si>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</si>
  <si>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</si>
  <si>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</si>
  <si>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</si>
  <si>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</si>
  <si>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</si>
  <si>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Operating revenue y/y</t>
  </si>
  <si>
    <t>Heavily overvalued</t>
  </si>
  <si>
    <t>Last checked</t>
  </si>
  <si>
    <t>Today</t>
  </si>
  <si>
    <t>Earnings</t>
  </si>
  <si>
    <t>Backlog y/y</t>
  </si>
  <si>
    <t>Total Backlog</t>
  </si>
  <si>
    <t>Order Backlog</t>
  </si>
  <si>
    <t>Booked Business</t>
  </si>
  <si>
    <t>Frame Nomination</t>
  </si>
  <si>
    <t>Frame Utilisation</t>
  </si>
  <si>
    <t>Order Intake</t>
  </si>
  <si>
    <t>Rheinmetall Nomination</t>
  </si>
  <si>
    <t>Nominated Backlog</t>
  </si>
  <si>
    <t>Frame Backlog</t>
  </si>
  <si>
    <t>Order Backlog y/y</t>
  </si>
  <si>
    <t>Q125</t>
  </si>
  <si>
    <t>Q225</t>
  </si>
  <si>
    <t>Q325</t>
  </si>
  <si>
    <t>Q425</t>
  </si>
  <si>
    <t>Other operating income y/y</t>
  </si>
  <si>
    <t>Model net profit</t>
  </si>
  <si>
    <t>CF net profit</t>
  </si>
  <si>
    <t>Impairment</t>
  </si>
  <si>
    <t>Pensions</t>
  </si>
  <si>
    <t>Loss on disposal</t>
  </si>
  <si>
    <t>Provisions</t>
  </si>
  <si>
    <t>Working capital</t>
  </si>
  <si>
    <t>Other working capital</t>
  </si>
  <si>
    <t>Gain on investment</t>
  </si>
  <si>
    <t>Loss on equity</t>
  </si>
  <si>
    <t>Gain on equity</t>
  </si>
  <si>
    <t>Other non-cash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</si>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</sst>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[$€-1]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0</xdr:rowOff>
    </xdr:from>
    <xdr:to>
      <xdr:col>18</xdr:col>
      <xdr:colOff>22860</xdr:colOff>
      <xdr:row>64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08EF7B-447E-665E-AE4C-3855093B42E6}"/>
            </a:ext>
          </a:extLst>
        </xdr:cNvPr>
        <xdr:cNvCxnSpPr/>
      </xdr:nvCxnSpPr>
      <xdr:spPr>
        <a:xfrm>
          <a:off x="12534900" y="0"/>
          <a:ext cx="0" cy="116052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</xdr:colOff>
      <xdr:row>0</xdr:row>
      <xdr:rowOff>0</xdr:rowOff>
    </xdr:from>
    <xdr:to>
      <xdr:col>30</xdr:col>
      <xdr:colOff>22860</xdr:colOff>
      <xdr:row>87</xdr:row>
      <xdr:rowOff>175260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B02BE0A-F4DF-09E8-588D-130F05D85ADC}"/>
            </a:ext>
          </a:extLst>
        </xdr:cNvPr>
        <xdr:cNvCxnSpPr/>
      </xdr:nvCxnSpPr>
      <xdr:spPr>
        <a:xfrm>
          <a:off x="19850100" y="0"/>
          <a:ext cx="0" cy="160858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FF3F-EFFD-4DB9-8D87-41D4528C41F5}">
  <dimension ref="B2:H9"/>
  <sheetViews>
    <sheetView workbookViewId="0">
      <selection activeCell="H3" sqref="H3"/>
    </sheetView>
  </sheetViews>
  <sheetFormatPr defaultRowHeight="14.4" x14ac:dyDescent="0.3"/>
  <cols>
    <col min="4" max="4" width="9.44140625" bestFit="1" customWidth="1"/>
    <col min="6" max="8" width="14.21875" style="10" customWidth="1"/>
  </cols>
  <sheetData>
    <row r="2" spans="2:8" x14ac:dyDescent="0.3">
      <c r="F2" s="10" t="s">
        <v>73</v>
      </c>
      <c r="G2" s="10" t="s">
        <v>74</v>
      </c>
      <c r="H2" s="10" t="s">
        <v>75</v>
      </c>
    </row>
    <row r="3" spans="2:8" x14ac:dyDescent="0.3">
      <c r="B3" s="1" t="s">
        <v>0</v>
      </c>
      <c r="C3" t="s">
        <v>1</v>
      </c>
      <c r="D3" s="2">
        <v>1417</v>
      </c>
      <c r="F3" s="11">
        <v>45734</v>
      </c>
      <c r="G3" s="11">
        <f ca="1">TODAY()</f>
        <v>45736</v>
      </c>
      <c r="H3" s="11">
        <v>45455</v>
      </c>
    </row>
    <row r="4" spans="2:8" x14ac:dyDescent="0.3">
      <c r="C4" t="s">
        <v>2</v>
      </c>
      <c r="D4" s="3">
        <f>43.43</f>
        <v>43.43</v>
      </c>
    </row>
    <row r="5" spans="2:8" x14ac:dyDescent="0.3">
      <c r="C5" t="s">
        <v>3</v>
      </c>
      <c r="D5" s="3">
        <f>D3*D4</f>
        <v>61540.31</v>
      </c>
    </row>
    <row r="6" spans="2:8" x14ac:dyDescent="0.3">
      <c r="C6" t="s">
        <v>4</v>
      </c>
      <c r="D6" s="3">
        <f>1184+346</f>
        <v>1530</v>
      </c>
    </row>
    <row r="7" spans="2:8" x14ac:dyDescent="0.3">
      <c r="C7" t="s">
        <v>5</v>
      </c>
      <c r="D7" s="3">
        <f>552+1871</f>
        <v>2423</v>
      </c>
    </row>
    <row r="8" spans="2:8" x14ac:dyDescent="0.3">
      <c r="C8" t="s">
        <v>6</v>
      </c>
      <c r="D8" s="3">
        <f>D6-D7</f>
        <v>-893</v>
      </c>
    </row>
    <row r="9" spans="2:8" x14ac:dyDescent="0.3">
      <c r="C9" t="s">
        <v>7</v>
      </c>
      <c r="D9" s="3">
        <f>D5-D8</f>
        <v>62433.31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C44B-4F3D-481F-98FD-E9305230A697}">
  <dimension ref="B2:EV83"/>
  <sheetViews>
    <sheetView tabSelected="1" workbookViewId="0">
      <pane xSplit="2" ySplit="2" topLeftCell="AF33" activePane="bottomRight" state="frozen"/>
      <selection pane="topRight" activeCell="C1" sqref="C1"/>
      <selection pane="bottomLeft" activeCell="A3" sqref="A3"/>
      <selection pane="bottomRight" activeCell="V13" sqref="V13"/>
    </sheetView>
  </sheetViews>
  <sheetFormatPr defaultRowHeight="14.4" x14ac:dyDescent="0.3"/>
  <cols>
    <col min="2" max="2" width="30.88671875" bestFit="1" customWidth="1"/>
    <col min="3" max="11" width="8.88671875" customWidth="1"/>
    <col min="13" max="13" width="9.109375" bestFit="1" customWidth="1"/>
    <col min="17" max="17" width="9.109375" bestFit="1" customWidth="1"/>
    <col min="44" max="44" width="12" bestFit="1" customWidth="1"/>
    <col min="45" max="45" width="16.44140625" customWidth="1"/>
  </cols>
  <sheetData>
    <row r="2" spans="2:41" x14ac:dyDescent="0.3">
      <c r="C2" s="4" t="s">
        <v>67</v>
      </c>
      <c r="D2" s="4" t="s">
        <v>68</v>
      </c>
      <c r="E2" s="4" t="s">
        <v>69</v>
      </c>
      <c r="F2" s="4" t="s">
        <v>70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30</v>
      </c>
      <c r="L2" s="4" t="s">
        <v>29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87</v>
      </c>
      <c r="T2" s="4" t="s">
        <v>88</v>
      </c>
      <c r="U2" s="4" t="s">
        <v>89</v>
      </c>
      <c r="V2" s="4" t="s">
        <v>90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41" x14ac:dyDescent="0.3">
      <c r="B3" t="s">
        <v>79</v>
      </c>
      <c r="C3" s="4"/>
      <c r="D3" s="4"/>
      <c r="E3" s="4"/>
      <c r="F3" s="4"/>
      <c r="G3" s="4"/>
      <c r="H3" s="4"/>
      <c r="I3" s="4"/>
      <c r="J3" s="3">
        <v>3521</v>
      </c>
      <c r="K3" s="4"/>
      <c r="L3" s="4"/>
      <c r="M3" s="4"/>
      <c r="N3" s="3">
        <v>3480</v>
      </c>
      <c r="O3" s="4"/>
      <c r="P3" s="4"/>
      <c r="Q3" s="4"/>
      <c r="R3" s="3">
        <v>2508</v>
      </c>
      <c r="S3" s="4"/>
      <c r="T3" s="4"/>
      <c r="U3" s="4"/>
      <c r="V3" s="4"/>
      <c r="Z3" s="3"/>
      <c r="AA3" s="3"/>
      <c r="AB3" s="3">
        <v>3521</v>
      </c>
      <c r="AC3" s="3">
        <v>3480</v>
      </c>
      <c r="AD3" s="3">
        <v>2508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2:41" x14ac:dyDescent="0.3">
      <c r="B4" t="s">
        <v>80</v>
      </c>
      <c r="C4" s="4"/>
      <c r="D4" s="4"/>
      <c r="E4" s="4"/>
      <c r="F4" s="4"/>
      <c r="G4" s="4"/>
      <c r="H4" s="4"/>
      <c r="I4" s="4"/>
      <c r="J4" s="3">
        <v>350</v>
      </c>
      <c r="K4" s="4"/>
      <c r="L4" s="4"/>
      <c r="M4" s="4"/>
      <c r="N4" s="3">
        <v>7362</v>
      </c>
      <c r="O4" s="4"/>
      <c r="P4" s="4"/>
      <c r="Q4" s="4"/>
      <c r="R4" s="3">
        <v>11518</v>
      </c>
      <c r="S4" s="4"/>
      <c r="T4" s="4"/>
      <c r="U4" s="4"/>
      <c r="V4" s="4"/>
      <c r="Z4" s="3"/>
      <c r="AA4" s="3"/>
      <c r="AB4" s="3">
        <v>350</v>
      </c>
      <c r="AC4" s="3">
        <v>7362</v>
      </c>
      <c r="AD4" s="3">
        <v>11518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2:41" x14ac:dyDescent="0.3">
      <c r="B5" t="s">
        <v>81</v>
      </c>
      <c r="C5" s="4"/>
      <c r="D5" s="4"/>
      <c r="E5" s="4"/>
      <c r="F5" s="4"/>
      <c r="G5" s="4"/>
      <c r="H5" s="4"/>
      <c r="I5" s="4"/>
      <c r="J5" s="3">
        <v>0</v>
      </c>
      <c r="K5" s="4"/>
      <c r="L5" s="4"/>
      <c r="M5" s="4"/>
      <c r="N5" s="3">
        <v>-2804</v>
      </c>
      <c r="O5" s="4"/>
      <c r="P5" s="4"/>
      <c r="Q5" s="4"/>
      <c r="R5" s="3">
        <v>-3738</v>
      </c>
      <c r="S5" s="4"/>
      <c r="T5" s="4"/>
      <c r="U5" s="4"/>
      <c r="V5" s="4"/>
      <c r="Z5" s="3"/>
      <c r="AA5" s="3"/>
      <c r="AB5" s="3">
        <v>0</v>
      </c>
      <c r="AC5" s="3">
        <v>-2804</v>
      </c>
      <c r="AD5" s="3">
        <v>-3738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3">
      <c r="B6" t="s">
        <v>82</v>
      </c>
      <c r="C6" s="4"/>
      <c r="D6" s="4"/>
      <c r="E6" s="4"/>
      <c r="F6" s="4"/>
      <c r="G6" s="4"/>
      <c r="H6" s="4"/>
      <c r="I6" s="4"/>
      <c r="J6" s="3">
        <v>5629</v>
      </c>
      <c r="K6" s="4"/>
      <c r="L6" s="4"/>
      <c r="M6" s="4"/>
      <c r="N6" s="3">
        <v>11843</v>
      </c>
      <c r="O6" s="4"/>
      <c r="P6" s="4"/>
      <c r="Q6" s="4"/>
      <c r="R6" s="3">
        <v>16554</v>
      </c>
      <c r="S6" s="4"/>
      <c r="T6" s="4"/>
      <c r="U6" s="4"/>
      <c r="V6" s="4"/>
      <c r="Z6" s="3"/>
      <c r="AA6" s="3"/>
      <c r="AB6" s="3">
        <v>5629</v>
      </c>
      <c r="AC6" s="3">
        <v>11843</v>
      </c>
      <c r="AD6" s="3">
        <v>16554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3">
      <c r="B7" t="s">
        <v>83</v>
      </c>
      <c r="C7" s="4"/>
      <c r="D7" s="4"/>
      <c r="E7" s="4"/>
      <c r="F7" s="4"/>
      <c r="G7" s="4"/>
      <c r="H7" s="4"/>
      <c r="I7" s="4"/>
      <c r="J7" s="3">
        <f>SUM(J3:J6)</f>
        <v>9500</v>
      </c>
      <c r="K7" s="4"/>
      <c r="L7" s="4"/>
      <c r="M7" s="4"/>
      <c r="N7" s="3">
        <f>SUM(N3:N6)</f>
        <v>19881</v>
      </c>
      <c r="O7" s="4"/>
      <c r="P7" s="4"/>
      <c r="Q7" s="4"/>
      <c r="R7" s="3">
        <f>SUM(R3:R6)</f>
        <v>26842</v>
      </c>
      <c r="S7" s="4"/>
      <c r="T7" s="4"/>
      <c r="U7" s="4"/>
      <c r="V7" s="4"/>
      <c r="Z7" s="3"/>
      <c r="AA7" s="3"/>
      <c r="AB7" s="3">
        <f>SUM(AB3:AB6)</f>
        <v>9500</v>
      </c>
      <c r="AC7" s="3">
        <f>SUM(AC3:AC6)</f>
        <v>19881</v>
      </c>
      <c r="AD7" s="3">
        <f>SUM(AD3:AD6)</f>
        <v>26842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3">
      <c r="B8" t="s">
        <v>84</v>
      </c>
      <c r="C8" s="4"/>
      <c r="D8" s="4"/>
      <c r="E8" s="4"/>
      <c r="F8" s="4"/>
      <c r="G8" s="4"/>
      <c r="H8" s="4"/>
      <c r="I8" s="4"/>
      <c r="J8" s="3">
        <v>8056</v>
      </c>
      <c r="K8" s="4"/>
      <c r="L8" s="4"/>
      <c r="M8" s="4"/>
      <c r="N8" s="3">
        <v>8381</v>
      </c>
      <c r="O8" s="4"/>
      <c r="P8" s="4"/>
      <c r="Q8" s="4"/>
      <c r="R8" s="3">
        <v>7712</v>
      </c>
      <c r="S8" s="4"/>
      <c r="T8" s="4"/>
      <c r="U8" s="4"/>
      <c r="V8" s="4"/>
      <c r="Z8" s="3"/>
      <c r="AA8" s="3"/>
      <c r="AB8" s="3">
        <v>8056</v>
      </c>
      <c r="AC8" s="3">
        <v>8381</v>
      </c>
      <c r="AD8" s="3">
        <v>7712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3">
      <c r="B9" t="s">
        <v>85</v>
      </c>
      <c r="C9" s="4"/>
      <c r="D9" s="4"/>
      <c r="E9" s="4"/>
      <c r="F9" s="4"/>
      <c r="G9" s="4"/>
      <c r="H9" s="4"/>
      <c r="I9" s="4"/>
      <c r="J9" s="3">
        <v>3427</v>
      </c>
      <c r="K9" s="4"/>
      <c r="L9" s="4"/>
      <c r="M9" s="4"/>
      <c r="N9" s="3">
        <v>7931</v>
      </c>
      <c r="O9" s="4"/>
      <c r="P9" s="4"/>
      <c r="Q9" s="4"/>
      <c r="R9" s="3">
        <v>16533</v>
      </c>
      <c r="S9" s="4"/>
      <c r="T9" s="4"/>
      <c r="U9" s="4"/>
      <c r="V9" s="4"/>
      <c r="Z9" s="3"/>
      <c r="AA9" s="3"/>
      <c r="AB9" s="3">
        <v>3427</v>
      </c>
      <c r="AC9" s="3">
        <v>7931</v>
      </c>
      <c r="AD9" s="3">
        <v>16533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3">
      <c r="B10" t="s">
        <v>78</v>
      </c>
      <c r="C10" s="4"/>
      <c r="D10" s="4"/>
      <c r="E10" s="4"/>
      <c r="F10" s="4"/>
      <c r="G10" s="4"/>
      <c r="H10" s="4"/>
      <c r="I10" s="4"/>
      <c r="J10" s="3">
        <v>15089</v>
      </c>
      <c r="K10" s="4"/>
      <c r="L10" s="4"/>
      <c r="M10" s="4"/>
      <c r="N10" s="3">
        <v>21977</v>
      </c>
      <c r="O10" s="4"/>
      <c r="P10" s="4"/>
      <c r="Q10" s="4"/>
      <c r="R10" s="3">
        <v>30728</v>
      </c>
      <c r="S10" s="4"/>
      <c r="T10" s="4"/>
      <c r="U10" s="4"/>
      <c r="V10" s="4"/>
      <c r="Z10" s="3"/>
      <c r="AA10" s="3"/>
      <c r="AB10" s="3">
        <v>15089</v>
      </c>
      <c r="AC10" s="3">
        <v>21977</v>
      </c>
      <c r="AD10" s="3">
        <v>30728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3">
      <c r="B11" t="s">
        <v>77</v>
      </c>
      <c r="C11" s="4"/>
      <c r="D11" s="4"/>
      <c r="E11" s="4"/>
      <c r="F11" s="4"/>
      <c r="G11" s="4"/>
      <c r="H11" s="4"/>
      <c r="I11" s="9"/>
      <c r="J11" s="9">
        <v>26572</v>
      </c>
      <c r="K11" s="9">
        <v>28194</v>
      </c>
      <c r="L11" s="9">
        <v>30050</v>
      </c>
      <c r="M11" s="9">
        <v>36744</v>
      </c>
      <c r="N11" s="9">
        <v>38290</v>
      </c>
      <c r="O11" s="9">
        <v>40197</v>
      </c>
      <c r="P11" s="9">
        <v>48460</v>
      </c>
      <c r="Q11" s="9">
        <v>51906</v>
      </c>
      <c r="R11" s="9">
        <v>54973</v>
      </c>
      <c r="S11" s="4"/>
      <c r="T11" s="4"/>
      <c r="U11" s="4"/>
      <c r="V11" s="4"/>
      <c r="Z11" s="3"/>
      <c r="AA11" s="3"/>
      <c r="AB11" s="3">
        <f>SUM(AB8:AB10)</f>
        <v>26572</v>
      </c>
      <c r="AC11" s="3">
        <f>SUM(AC8:AC10)</f>
        <v>38289</v>
      </c>
      <c r="AD11" s="3">
        <f>SUM(AD8:AD10)</f>
        <v>54973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3">
      <c r="B13" t="s">
        <v>41</v>
      </c>
      <c r="C13">
        <v>406</v>
      </c>
      <c r="D13">
        <v>461</v>
      </c>
      <c r="G13" s="3">
        <v>395</v>
      </c>
      <c r="H13" s="3">
        <v>446</v>
      </c>
      <c r="I13" s="3">
        <v>466</v>
      </c>
      <c r="J13" s="9">
        <f>AB13-I13-H13-G13</f>
        <v>944</v>
      </c>
      <c r="K13" s="9">
        <v>457</v>
      </c>
      <c r="L13" s="9">
        <v>545</v>
      </c>
      <c r="M13" s="9">
        <v>653</v>
      </c>
      <c r="N13" s="9">
        <f>AC13-M13-L13-K13</f>
        <v>922</v>
      </c>
      <c r="O13" s="9">
        <v>489</v>
      </c>
      <c r="P13" s="9">
        <v>805</v>
      </c>
      <c r="Q13" s="9">
        <v>1234</v>
      </c>
      <c r="R13" s="3">
        <f>AD13-Q13-P13-O13</f>
        <v>1241</v>
      </c>
      <c r="S13" s="9">
        <f>O13*1.35</f>
        <v>660.15000000000009</v>
      </c>
      <c r="T13" s="9">
        <f>P13*1.5</f>
        <v>1207.5</v>
      </c>
      <c r="U13" s="9">
        <f>Q13*1.3</f>
        <v>1604.2</v>
      </c>
      <c r="V13" s="9">
        <f t="shared" ref="V13" si="0">R13*1.35</f>
        <v>1675.3500000000001</v>
      </c>
      <c r="Z13" s="3">
        <v>1828</v>
      </c>
      <c r="AA13" s="3">
        <v>1875</v>
      </c>
      <c r="AB13" s="3">
        <v>2251</v>
      </c>
      <c r="AC13" s="3">
        <v>2577</v>
      </c>
      <c r="AD13" s="3">
        <v>3769</v>
      </c>
      <c r="AE13" s="3">
        <f>SUM(S13:V13)</f>
        <v>5147.2000000000007</v>
      </c>
      <c r="AF13" s="3">
        <f>AE13*1.15</f>
        <v>5919.2800000000007</v>
      </c>
      <c r="AG13" s="3">
        <f>AF13*1.08</f>
        <v>6392.8224000000009</v>
      </c>
      <c r="AH13" s="3">
        <f>AG13*1.05</f>
        <v>6712.4635200000012</v>
      </c>
      <c r="AI13" s="3">
        <f>AH13*1.03</f>
        <v>6913.8374256000016</v>
      </c>
      <c r="AJ13" s="3">
        <f t="shared" ref="AJ13:AO13" si="1">AI13*1.02</f>
        <v>7052.1141741120018</v>
      </c>
      <c r="AK13" s="3">
        <f t="shared" si="1"/>
        <v>7193.1564575942421</v>
      </c>
      <c r="AL13" s="3">
        <f t="shared" si="1"/>
        <v>7337.0195867461271</v>
      </c>
      <c r="AM13" s="3">
        <f t="shared" si="1"/>
        <v>7483.75997848105</v>
      </c>
      <c r="AN13" s="3">
        <f t="shared" si="1"/>
        <v>7633.4351780506713</v>
      </c>
      <c r="AO13" s="3">
        <f t="shared" si="1"/>
        <v>7786.1038816116852</v>
      </c>
    </row>
    <row r="14" spans="2:41" x14ac:dyDescent="0.3">
      <c r="B14" t="s">
        <v>42</v>
      </c>
      <c r="C14">
        <v>210</v>
      </c>
      <c r="D14">
        <v>231</v>
      </c>
      <c r="G14" s="3">
        <v>216</v>
      </c>
      <c r="H14" s="3">
        <v>257</v>
      </c>
      <c r="I14" s="3">
        <v>228</v>
      </c>
      <c r="J14" s="9">
        <f>AB14-I14-H14-G14</f>
        <v>437</v>
      </c>
      <c r="K14" s="9">
        <v>174</v>
      </c>
      <c r="L14" s="9">
        <v>248</v>
      </c>
      <c r="M14" s="9">
        <v>379</v>
      </c>
      <c r="N14" s="9">
        <f>AC14-M14-L14-K14</f>
        <v>680</v>
      </c>
      <c r="O14" s="9">
        <v>321</v>
      </c>
      <c r="P14" s="9">
        <v>635</v>
      </c>
      <c r="Q14" s="9">
        <v>447</v>
      </c>
      <c r="R14" s="3">
        <f>AD14-Q14-P14-O14</f>
        <v>1132</v>
      </c>
      <c r="S14" s="9">
        <f>O14*1.6</f>
        <v>513.6</v>
      </c>
      <c r="T14" s="9">
        <f>P14*1.05</f>
        <v>666.75</v>
      </c>
      <c r="U14" s="9">
        <f>Q14*1.7</f>
        <v>759.9</v>
      </c>
      <c r="V14" s="9">
        <f>R14*1.2</f>
        <v>1358.3999999999999</v>
      </c>
      <c r="Z14" s="3">
        <v>1118</v>
      </c>
      <c r="AA14" s="3">
        <v>1139</v>
      </c>
      <c r="AB14" s="3">
        <v>1138</v>
      </c>
      <c r="AC14" s="3">
        <v>1481</v>
      </c>
      <c r="AD14" s="3">
        <v>2535</v>
      </c>
      <c r="AE14" s="3">
        <f>SUM(S14:V14)</f>
        <v>3298.6499999999996</v>
      </c>
      <c r="AF14" s="3">
        <f>AE14*1.2</f>
        <v>3958.3799999999992</v>
      </c>
      <c r="AG14" s="3">
        <f>AF14*1.1</f>
        <v>4354.2179999999998</v>
      </c>
      <c r="AH14" s="3">
        <f>AG14*1.05</f>
        <v>4571.9288999999999</v>
      </c>
      <c r="AI14" s="3">
        <f>AH14*1.03</f>
        <v>4709.0867669999998</v>
      </c>
      <c r="AJ14" s="3">
        <f>AI14*1.02</f>
        <v>4803.2685023399999</v>
      </c>
      <c r="AK14" s="3">
        <f t="shared" ref="AK14:AO14" si="2">AJ14*1.02</f>
        <v>4899.3338723868001</v>
      </c>
      <c r="AL14" s="3">
        <f t="shared" si="2"/>
        <v>4997.320549834536</v>
      </c>
      <c r="AM14" s="3">
        <f t="shared" si="2"/>
        <v>5097.2669608312272</v>
      </c>
      <c r="AN14" s="3">
        <f t="shared" si="2"/>
        <v>5199.2123000478514</v>
      </c>
      <c r="AO14" s="3">
        <f t="shared" si="2"/>
        <v>5303.1965460488082</v>
      </c>
    </row>
    <row r="15" spans="2:41" x14ac:dyDescent="0.3">
      <c r="B15" t="s">
        <v>43</v>
      </c>
      <c r="C15">
        <v>141</v>
      </c>
      <c r="D15">
        <v>162</v>
      </c>
      <c r="G15" s="3">
        <v>132</v>
      </c>
      <c r="H15" s="3">
        <v>190</v>
      </c>
      <c r="I15" s="3">
        <v>186</v>
      </c>
      <c r="J15" s="9">
        <f>AB15-I15-H15-G15</f>
        <v>433</v>
      </c>
      <c r="K15" s="9">
        <v>185</v>
      </c>
      <c r="L15" s="9">
        <v>211</v>
      </c>
      <c r="M15" s="9">
        <v>204</v>
      </c>
      <c r="N15" s="9">
        <f>AC15-M15-L15-K15</f>
        <v>418</v>
      </c>
      <c r="O15" s="9">
        <v>227</v>
      </c>
      <c r="P15" s="9">
        <v>272</v>
      </c>
      <c r="Q15" s="9">
        <v>284</v>
      </c>
      <c r="R15" s="3">
        <f>AD15-Q15-P15-O15</f>
        <v>533</v>
      </c>
      <c r="S15" s="9">
        <f>O15*1.35</f>
        <v>306.45000000000005</v>
      </c>
      <c r="T15" s="9">
        <f>P15*1.3</f>
        <v>353.6</v>
      </c>
      <c r="U15" s="9">
        <f>Q15*1.3</f>
        <v>369.2</v>
      </c>
      <c r="V15" s="9">
        <f>R15*1.2</f>
        <v>639.6</v>
      </c>
      <c r="Z15" s="3">
        <v>776</v>
      </c>
      <c r="AA15" s="3">
        <v>745</v>
      </c>
      <c r="AB15" s="3">
        <v>941</v>
      </c>
      <c r="AC15" s="3">
        <v>1018</v>
      </c>
      <c r="AD15" s="3">
        <v>1316</v>
      </c>
      <c r="AE15" s="3">
        <f>SUM(S15:V15)</f>
        <v>1668.85</v>
      </c>
      <c r="AF15" s="3">
        <f>AE15*1.15</f>
        <v>1919.1774999999998</v>
      </c>
      <c r="AG15" s="3">
        <f>AF15*1.08</f>
        <v>2072.7116999999998</v>
      </c>
      <c r="AH15" s="3">
        <f>AG15*1.05</f>
        <v>2176.3472849999998</v>
      </c>
      <c r="AI15" s="3">
        <f>AH15*1.04</f>
        <v>2263.4011763999997</v>
      </c>
      <c r="AJ15" s="3">
        <f>AI15*1.03</f>
        <v>2331.3032116919999</v>
      </c>
      <c r="AK15" s="3">
        <f t="shared" ref="AK15:AO15" si="3">AJ15*1.03</f>
        <v>2401.2423080427598</v>
      </c>
      <c r="AL15" s="3">
        <f t="shared" si="3"/>
        <v>2473.2795772840427</v>
      </c>
      <c r="AM15" s="3">
        <f t="shared" si="3"/>
        <v>2547.477964602564</v>
      </c>
      <c r="AN15" s="3">
        <f t="shared" si="3"/>
        <v>2623.9023035406412</v>
      </c>
      <c r="AO15" s="3">
        <f t="shared" si="3"/>
        <v>2702.6193726468605</v>
      </c>
    </row>
    <row r="16" spans="2:41" x14ac:dyDescent="0.3">
      <c r="B16" t="s">
        <v>44</v>
      </c>
      <c r="C16">
        <f>351+158</f>
        <v>509</v>
      </c>
      <c r="D16">
        <f>307+159</f>
        <v>466</v>
      </c>
      <c r="G16" s="3">
        <f>326+190</f>
        <v>516</v>
      </c>
      <c r="H16" s="3">
        <f>325+183</f>
        <v>508</v>
      </c>
      <c r="I16" s="3">
        <f>339+187</f>
        <v>526</v>
      </c>
      <c r="J16" s="9">
        <f>AB16-I16-H16-G16</f>
        <v>502</v>
      </c>
      <c r="K16" s="9">
        <v>541</v>
      </c>
      <c r="L16" s="9">
        <v>484</v>
      </c>
      <c r="M16" s="9">
        <f>327+197</f>
        <v>524</v>
      </c>
      <c r="N16" s="9">
        <f>AC16-M16-L16-K16</f>
        <v>532</v>
      </c>
      <c r="O16" s="9">
        <v>540</v>
      </c>
      <c r="P16" s="9">
        <v>513</v>
      </c>
      <c r="Q16" s="9">
        <v>484</v>
      </c>
      <c r="R16" s="3">
        <f>AD16-Q16-P16-O16</f>
        <v>495</v>
      </c>
      <c r="S16" s="9">
        <f>O16*0.93</f>
        <v>502.20000000000005</v>
      </c>
      <c r="T16" s="9">
        <f>P16*0.93</f>
        <v>477.09000000000003</v>
      </c>
      <c r="U16" s="9">
        <f>Q16*0.95</f>
        <v>459.79999999999995</v>
      </c>
      <c r="V16" s="9">
        <f>R16*0.98</f>
        <v>485.09999999999997</v>
      </c>
      <c r="Z16" s="3">
        <f>1147+533</f>
        <v>1680</v>
      </c>
      <c r="AA16" s="3">
        <f>1229+647</f>
        <v>1876</v>
      </c>
      <c r="AB16" s="3">
        <f>1313+739</f>
        <v>2052</v>
      </c>
      <c r="AC16" s="3">
        <f>1346+735</f>
        <v>2081</v>
      </c>
      <c r="AD16" s="3">
        <v>2032</v>
      </c>
      <c r="AE16" s="3">
        <f>SUM(S16:V16)</f>
        <v>1924.19</v>
      </c>
      <c r="AF16" s="3">
        <f t="shared" ref="AF16:AO16" si="4">AE16*1.01</f>
        <v>1943.4319</v>
      </c>
      <c r="AG16" s="3">
        <f t="shared" si="4"/>
        <v>1962.866219</v>
      </c>
      <c r="AH16" s="3">
        <f t="shared" si="4"/>
        <v>1982.4948811900001</v>
      </c>
      <c r="AI16" s="3">
        <f t="shared" si="4"/>
        <v>2002.3198300019001</v>
      </c>
      <c r="AJ16" s="3">
        <f t="shared" si="4"/>
        <v>2022.343028301919</v>
      </c>
      <c r="AK16" s="3">
        <f t="shared" si="4"/>
        <v>2042.5664585849383</v>
      </c>
      <c r="AL16" s="3">
        <f t="shared" si="4"/>
        <v>2062.9921231707876</v>
      </c>
      <c r="AM16" s="3">
        <f t="shared" si="4"/>
        <v>2083.6220444024957</v>
      </c>
      <c r="AN16" s="3">
        <f t="shared" si="4"/>
        <v>2104.4582648465207</v>
      </c>
      <c r="AO16" s="3">
        <f t="shared" si="4"/>
        <v>2125.5028474949859</v>
      </c>
    </row>
    <row r="17" spans="2:41" x14ac:dyDescent="0.3">
      <c r="B17" t="s">
        <v>45</v>
      </c>
      <c r="C17">
        <v>2</v>
      </c>
      <c r="D17">
        <v>-4</v>
      </c>
      <c r="G17" s="3">
        <v>7</v>
      </c>
      <c r="H17" s="3">
        <v>7</v>
      </c>
      <c r="I17" s="3">
        <v>9</v>
      </c>
      <c r="J17" s="9">
        <f>AB17-I17-H17-G17</f>
        <v>5</v>
      </c>
      <c r="K17" s="9">
        <v>6</v>
      </c>
      <c r="L17" s="9">
        <v>9</v>
      </c>
      <c r="M17" s="9">
        <v>-2</v>
      </c>
      <c r="N17" s="9">
        <f>AC17-M17-L17-K17</f>
        <v>5</v>
      </c>
      <c r="O17" s="9">
        <v>5</v>
      </c>
      <c r="P17" s="9">
        <v>10</v>
      </c>
      <c r="Q17" s="9">
        <v>4</v>
      </c>
      <c r="R17" s="3">
        <f>AD17-Q17-P17-O17</f>
        <v>80</v>
      </c>
      <c r="S17" s="9">
        <f t="shared" ref="S17" si="5">O17*1.35</f>
        <v>6.75</v>
      </c>
      <c r="T17" s="9">
        <f t="shared" ref="T17" si="6">P17*1.35</f>
        <v>13.5</v>
      </c>
      <c r="U17" s="9">
        <f t="shared" ref="U17" si="7">Q17*1.35</f>
        <v>5.4</v>
      </c>
      <c r="V17" s="9">
        <f>R17*1.5</f>
        <v>120</v>
      </c>
      <c r="Z17" s="3">
        <v>3</v>
      </c>
      <c r="AA17" s="3">
        <v>24</v>
      </c>
      <c r="AB17" s="3">
        <v>28</v>
      </c>
      <c r="AC17" s="3">
        <v>18</v>
      </c>
      <c r="AD17" s="3">
        <v>99</v>
      </c>
      <c r="AE17" s="3">
        <f>SUM(S17:V17)</f>
        <v>145.65</v>
      </c>
      <c r="AF17" s="3">
        <f>AE17*1.4</f>
        <v>203.91</v>
      </c>
      <c r="AG17" s="3">
        <f t="shared" ref="AG17" si="8">AF17*1.3</f>
        <v>265.08300000000003</v>
      </c>
      <c r="AH17" s="3">
        <f>AG17*1.2</f>
        <v>318.09960000000001</v>
      </c>
      <c r="AI17" s="3">
        <f>AH17*1.1</f>
        <v>349.90956000000006</v>
      </c>
      <c r="AJ17" s="3">
        <f>AI17*1.05</f>
        <v>367.40503800000005</v>
      </c>
      <c r="AK17" s="3">
        <f t="shared" ref="AK17:AO17" si="9">AJ17*1.05</f>
        <v>385.77528990000008</v>
      </c>
      <c r="AL17" s="3">
        <f t="shared" si="9"/>
        <v>405.06405439500008</v>
      </c>
      <c r="AM17" s="3">
        <f t="shared" si="9"/>
        <v>425.31725711475013</v>
      </c>
      <c r="AN17" s="3">
        <f t="shared" si="9"/>
        <v>446.58311997048764</v>
      </c>
      <c r="AO17" s="3">
        <f t="shared" si="9"/>
        <v>468.91227596901206</v>
      </c>
    </row>
    <row r="18" spans="2:41" s="1" customFormat="1" x14ac:dyDescent="0.3">
      <c r="B18" s="1" t="s">
        <v>8</v>
      </c>
      <c r="C18" s="6">
        <v>1268</v>
      </c>
      <c r="D18" s="6">
        <f>SUM(D13:D17)</f>
        <v>1316</v>
      </c>
      <c r="G18" s="6">
        <v>1266</v>
      </c>
      <c r="H18" s="6">
        <f>SUM(H13:H17)</f>
        <v>1408</v>
      </c>
      <c r="I18" s="6">
        <v>1415</v>
      </c>
      <c r="J18" s="6">
        <f>SUM(J13:J17)</f>
        <v>2321</v>
      </c>
      <c r="K18" s="6">
        <f>SUM(K13:K17)</f>
        <v>1363</v>
      </c>
      <c r="L18" s="6">
        <f>SUM(L13:L17)</f>
        <v>1497</v>
      </c>
      <c r="M18" s="6">
        <v>1758</v>
      </c>
      <c r="N18" s="6">
        <f>SUM(N13:N17)</f>
        <v>2557</v>
      </c>
      <c r="O18" s="6">
        <f>SUM(O13:O17)</f>
        <v>1582</v>
      </c>
      <c r="P18" s="6">
        <f>SUM(P13:P17)</f>
        <v>2235</v>
      </c>
      <c r="Q18" s="6">
        <f>SUM(Q13:Q17)</f>
        <v>2453</v>
      </c>
      <c r="R18" s="6">
        <f t="shared" ref="R18:V18" si="10">SUM(R13:R17)</f>
        <v>3481</v>
      </c>
      <c r="S18" s="6">
        <f t="shared" si="10"/>
        <v>1989.15</v>
      </c>
      <c r="T18" s="6">
        <f t="shared" si="10"/>
        <v>2718.44</v>
      </c>
      <c r="U18" s="6">
        <f t="shared" si="10"/>
        <v>3198.4999999999995</v>
      </c>
      <c r="V18" s="6">
        <f t="shared" si="10"/>
        <v>4278.45</v>
      </c>
      <c r="Z18" s="6">
        <f t="shared" ref="Z18:AE18" si="11">SUM(Z13:Z17)</f>
        <v>5405</v>
      </c>
      <c r="AA18" s="6">
        <f t="shared" si="11"/>
        <v>5659</v>
      </c>
      <c r="AB18" s="6">
        <f t="shared" si="11"/>
        <v>6410</v>
      </c>
      <c r="AC18" s="6">
        <f t="shared" si="11"/>
        <v>7175</v>
      </c>
      <c r="AD18" s="6">
        <v>9751</v>
      </c>
      <c r="AE18" s="6">
        <f t="shared" si="11"/>
        <v>12184.54</v>
      </c>
      <c r="AF18" s="6">
        <f t="shared" ref="AF18:AO18" si="12">SUM(AF13:AF17)</f>
        <v>13944.179399999999</v>
      </c>
      <c r="AG18" s="6">
        <f t="shared" si="12"/>
        <v>15047.701319000002</v>
      </c>
      <c r="AH18" s="6">
        <f t="shared" si="12"/>
        <v>15761.334186189999</v>
      </c>
      <c r="AI18" s="6">
        <f t="shared" si="12"/>
        <v>16238.554759001901</v>
      </c>
      <c r="AJ18" s="6">
        <f t="shared" si="12"/>
        <v>16576.433954445922</v>
      </c>
      <c r="AK18" s="6">
        <f t="shared" si="12"/>
        <v>16922.074386508742</v>
      </c>
      <c r="AL18" s="6">
        <f t="shared" si="12"/>
        <v>17275.675891430496</v>
      </c>
      <c r="AM18" s="6">
        <f t="shared" si="12"/>
        <v>17637.444205432086</v>
      </c>
      <c r="AN18" s="6">
        <f t="shared" si="12"/>
        <v>18007.591166456172</v>
      </c>
      <c r="AO18" s="6">
        <f t="shared" si="12"/>
        <v>18386.334923771352</v>
      </c>
    </row>
    <row r="19" spans="2:41" x14ac:dyDescent="0.3">
      <c r="B19" t="s">
        <v>9</v>
      </c>
      <c r="C19" s="3">
        <v>-85</v>
      </c>
      <c r="D19" s="3">
        <v>-29</v>
      </c>
      <c r="G19" s="3">
        <v>-142</v>
      </c>
      <c r="H19" s="3">
        <v>-86</v>
      </c>
      <c r="I19" s="3">
        <v>-138</v>
      </c>
      <c r="J19" s="9">
        <f>AB19-I19-H19-G19</f>
        <v>213</v>
      </c>
      <c r="K19" s="3">
        <v>-332</v>
      </c>
      <c r="L19" s="3">
        <v>-213</v>
      </c>
      <c r="M19" s="3">
        <v>-173</v>
      </c>
      <c r="N19" s="9">
        <f>AC19-M19-L19-K19</f>
        <v>22</v>
      </c>
      <c r="O19" s="3">
        <v>-432</v>
      </c>
      <c r="P19" s="3">
        <v>-1</v>
      </c>
      <c r="Q19" s="3">
        <v>130</v>
      </c>
      <c r="R19" s="3">
        <f>AD19-Q19-P19-O19</f>
        <v>136</v>
      </c>
      <c r="S19" s="3">
        <v>0</v>
      </c>
      <c r="T19" s="3">
        <v>0</v>
      </c>
      <c r="U19" s="3">
        <v>0</v>
      </c>
      <c r="V19" s="3">
        <v>0</v>
      </c>
      <c r="Z19" s="3">
        <v>-142</v>
      </c>
      <c r="AA19" s="3">
        <v>-117</v>
      </c>
      <c r="AB19" s="3">
        <v>-153</v>
      </c>
      <c r="AC19" s="3">
        <v>-696</v>
      </c>
      <c r="AD19" s="3">
        <v>-167</v>
      </c>
      <c r="AE19" s="3"/>
      <c r="AF19" s="3">
        <f t="shared" ref="AF19:AO19" si="13">AE19*0.97</f>
        <v>0</v>
      </c>
      <c r="AG19" s="3">
        <f t="shared" si="13"/>
        <v>0</v>
      </c>
      <c r="AH19" s="3">
        <f t="shared" si="13"/>
        <v>0</v>
      </c>
      <c r="AI19" s="3">
        <f t="shared" si="13"/>
        <v>0</v>
      </c>
      <c r="AJ19" s="3">
        <f t="shared" si="13"/>
        <v>0</v>
      </c>
      <c r="AK19" s="3">
        <f t="shared" si="13"/>
        <v>0</v>
      </c>
      <c r="AL19" s="3">
        <f t="shared" si="13"/>
        <v>0</v>
      </c>
      <c r="AM19" s="3">
        <f t="shared" si="13"/>
        <v>0</v>
      </c>
      <c r="AN19" s="3">
        <f t="shared" si="13"/>
        <v>0</v>
      </c>
      <c r="AO19" s="3">
        <f t="shared" si="13"/>
        <v>0</v>
      </c>
    </row>
    <row r="20" spans="2:41" x14ac:dyDescent="0.3">
      <c r="B20" t="s">
        <v>10</v>
      </c>
      <c r="C20" s="3">
        <v>665</v>
      </c>
      <c r="D20" s="3">
        <v>635</v>
      </c>
      <c r="G20" s="3">
        <v>684</v>
      </c>
      <c r="H20" s="3">
        <v>714</v>
      </c>
      <c r="I20" s="3">
        <v>797</v>
      </c>
      <c r="J20" s="9">
        <f>AB20-I20-H20-G20</f>
        <v>988</v>
      </c>
      <c r="K20" s="3">
        <v>893</v>
      </c>
      <c r="L20" s="3">
        <v>861</v>
      </c>
      <c r="M20" s="3">
        <v>1007</v>
      </c>
      <c r="N20" s="9">
        <f>AC20-M20-L20-K20</f>
        <v>1174</v>
      </c>
      <c r="O20" s="3">
        <v>1039</v>
      </c>
      <c r="P20" s="3">
        <v>1087</v>
      </c>
      <c r="Q20" s="3">
        <v>1170</v>
      </c>
      <c r="R20" s="3">
        <f>AD20-Q20-P20-O20</f>
        <v>1563</v>
      </c>
      <c r="S20" s="3"/>
      <c r="T20" s="3"/>
      <c r="U20" s="3"/>
      <c r="V20" s="3"/>
      <c r="Z20" s="3">
        <v>2792</v>
      </c>
      <c r="AA20" s="3">
        <v>2745</v>
      </c>
      <c r="AB20" s="3">
        <v>3183</v>
      </c>
      <c r="AC20" s="3">
        <v>3935</v>
      </c>
      <c r="AD20" s="3">
        <v>4859</v>
      </c>
      <c r="AE20" s="3"/>
      <c r="AF20" s="3">
        <f>AF18*0.5</f>
        <v>6972.0896999999995</v>
      </c>
      <c r="AG20" s="3">
        <f t="shared" ref="AG20:AO20" si="14">AG18*0.5</f>
        <v>7523.8506595000008</v>
      </c>
      <c r="AH20" s="3">
        <f t="shared" si="14"/>
        <v>7880.6670930949995</v>
      </c>
      <c r="AI20" s="3">
        <f t="shared" si="14"/>
        <v>8119.2773795009507</v>
      </c>
      <c r="AJ20" s="3">
        <f t="shared" si="14"/>
        <v>8288.2169772229608</v>
      </c>
      <c r="AK20" s="3">
        <f t="shared" si="14"/>
        <v>8461.0371932543712</v>
      </c>
      <c r="AL20" s="3">
        <f t="shared" si="14"/>
        <v>8637.8379457152478</v>
      </c>
      <c r="AM20" s="3">
        <f t="shared" si="14"/>
        <v>8818.7221027160431</v>
      </c>
      <c r="AN20" s="3">
        <f t="shared" si="14"/>
        <v>9003.7955832280859</v>
      </c>
      <c r="AO20" s="3">
        <f t="shared" si="14"/>
        <v>9193.1674618856759</v>
      </c>
    </row>
    <row r="21" spans="2:41" x14ac:dyDescent="0.3">
      <c r="B21" t="s">
        <v>11</v>
      </c>
      <c r="C21" s="3">
        <v>414</v>
      </c>
      <c r="D21" s="3">
        <v>423</v>
      </c>
      <c r="G21" s="3">
        <v>457</v>
      </c>
      <c r="H21" s="3">
        <v>464</v>
      </c>
      <c r="I21" s="3">
        <v>440</v>
      </c>
      <c r="J21" s="9">
        <f>AB21-I21-H21-G21</f>
        <v>475</v>
      </c>
      <c r="K21" s="3">
        <v>500</v>
      </c>
      <c r="L21" s="3">
        <v>507</v>
      </c>
      <c r="M21" s="3">
        <v>495</v>
      </c>
      <c r="N21" s="9">
        <f>AC21-M21-L21-K21</f>
        <v>545</v>
      </c>
      <c r="O21" s="3">
        <v>581</v>
      </c>
      <c r="P21" s="3">
        <v>578</v>
      </c>
      <c r="Q21" s="3">
        <v>572</v>
      </c>
      <c r="R21" s="3">
        <f>AD21-Q21-P21-O21</f>
        <v>642</v>
      </c>
      <c r="S21" s="3"/>
      <c r="T21" s="3"/>
      <c r="U21" s="3"/>
      <c r="V21" s="3"/>
      <c r="Z21" s="3">
        <v>1537</v>
      </c>
      <c r="AA21" s="3">
        <v>1643</v>
      </c>
      <c r="AB21" s="3">
        <v>1836</v>
      </c>
      <c r="AC21" s="3">
        <v>2047</v>
      </c>
      <c r="AD21" s="3">
        <v>2373</v>
      </c>
      <c r="AE21" s="3"/>
      <c r="AF21" s="3">
        <f>AF18*0.25</f>
        <v>3486.0448499999998</v>
      </c>
      <c r="AG21" s="3">
        <f t="shared" ref="AG21:AO21" si="15">AG18*0.25</f>
        <v>3761.9253297500004</v>
      </c>
      <c r="AH21" s="3">
        <f t="shared" si="15"/>
        <v>3940.3335465474997</v>
      </c>
      <c r="AI21" s="3">
        <f t="shared" si="15"/>
        <v>4059.6386897504754</v>
      </c>
      <c r="AJ21" s="3">
        <f t="shared" si="15"/>
        <v>4144.1084886114804</v>
      </c>
      <c r="AK21" s="3">
        <f t="shared" si="15"/>
        <v>4230.5185966271856</v>
      </c>
      <c r="AL21" s="3">
        <f t="shared" si="15"/>
        <v>4318.9189728576239</v>
      </c>
      <c r="AM21" s="3">
        <f t="shared" si="15"/>
        <v>4409.3610513580215</v>
      </c>
      <c r="AN21" s="3">
        <f t="shared" si="15"/>
        <v>4501.8977916140429</v>
      </c>
      <c r="AO21" s="3">
        <f t="shared" si="15"/>
        <v>4596.583730942838</v>
      </c>
    </row>
    <row r="22" spans="2:41" s="1" customFormat="1" x14ac:dyDescent="0.3">
      <c r="B22" s="1" t="s">
        <v>25</v>
      </c>
      <c r="C22" s="6">
        <f>SUM(C19:C21)</f>
        <v>994</v>
      </c>
      <c r="D22" s="6">
        <f>SUM(D19:D21)</f>
        <v>1029</v>
      </c>
      <c r="G22" s="6">
        <f t="shared" ref="G22:P22" si="16">SUM(G19:G21)</f>
        <v>999</v>
      </c>
      <c r="H22" s="6">
        <f t="shared" si="16"/>
        <v>1092</v>
      </c>
      <c r="I22" s="6">
        <f t="shared" si="16"/>
        <v>1099</v>
      </c>
      <c r="J22" s="6">
        <f t="shared" si="16"/>
        <v>1676</v>
      </c>
      <c r="K22" s="6">
        <f t="shared" si="16"/>
        <v>1061</v>
      </c>
      <c r="L22" s="6">
        <f t="shared" si="16"/>
        <v>1155</v>
      </c>
      <c r="M22" s="6">
        <f t="shared" si="16"/>
        <v>1329</v>
      </c>
      <c r="N22" s="6">
        <f t="shared" si="16"/>
        <v>1741</v>
      </c>
      <c r="O22" s="6">
        <f t="shared" si="16"/>
        <v>1188</v>
      </c>
      <c r="P22" s="6">
        <f t="shared" si="16"/>
        <v>1664</v>
      </c>
      <c r="Q22" s="6">
        <f t="shared" ref="Q22:R22" si="17">SUM(Q19:Q21)</f>
        <v>1872</v>
      </c>
      <c r="R22" s="6">
        <f t="shared" si="17"/>
        <v>2341</v>
      </c>
      <c r="S22" s="6">
        <f>S18-S23</f>
        <v>1491.8625000000002</v>
      </c>
      <c r="T22" s="6">
        <f t="shared" ref="T22:V22" si="18">T18-T23</f>
        <v>2038.83</v>
      </c>
      <c r="U22" s="6">
        <f t="shared" si="18"/>
        <v>2366.8899999999994</v>
      </c>
      <c r="V22" s="6">
        <f t="shared" si="18"/>
        <v>2823.777</v>
      </c>
      <c r="Z22" s="6">
        <f>SUM(Z19:Z21)</f>
        <v>4187</v>
      </c>
      <c r="AA22" s="6">
        <f>SUM(AA19:AA21)</f>
        <v>4271</v>
      </c>
      <c r="AB22" s="6">
        <f>SUM(AB19:AB21)</f>
        <v>4866</v>
      </c>
      <c r="AC22" s="6">
        <f>SUM(AC19:AC21)</f>
        <v>5286</v>
      </c>
      <c r="AD22" s="6">
        <f>SUM(AD19:AD21)</f>
        <v>7065</v>
      </c>
      <c r="AE22" s="3">
        <f>SUM(S22:V22)</f>
        <v>8721.3594999999987</v>
      </c>
      <c r="AF22" s="6">
        <f t="shared" ref="AF22:AO22" si="19">SUM(AF19:AF21)</f>
        <v>10458.134549999999</v>
      </c>
      <c r="AG22" s="6">
        <f t="shared" si="19"/>
        <v>11285.775989250002</v>
      </c>
      <c r="AH22" s="6">
        <f t="shared" si="19"/>
        <v>11821.0006396425</v>
      </c>
      <c r="AI22" s="6">
        <f t="shared" si="19"/>
        <v>12178.916069251427</v>
      </c>
      <c r="AJ22" s="6">
        <f t="shared" si="19"/>
        <v>12432.325465834441</v>
      </c>
      <c r="AK22" s="6">
        <f t="shared" si="19"/>
        <v>12691.555789881557</v>
      </c>
      <c r="AL22" s="6">
        <f t="shared" si="19"/>
        <v>12956.756918572872</v>
      </c>
      <c r="AM22" s="6">
        <f t="shared" si="19"/>
        <v>13228.083154074066</v>
      </c>
      <c r="AN22" s="6">
        <f t="shared" si="19"/>
        <v>13505.693374842129</v>
      </c>
      <c r="AO22" s="6">
        <f t="shared" si="19"/>
        <v>13789.751192828513</v>
      </c>
    </row>
    <row r="23" spans="2:41" s="1" customFormat="1" x14ac:dyDescent="0.3">
      <c r="B23" s="1" t="s">
        <v>23</v>
      </c>
      <c r="C23" s="6">
        <f>C18-C22</f>
        <v>274</v>
      </c>
      <c r="D23" s="6">
        <f>D18-D22</f>
        <v>287</v>
      </c>
      <c r="G23" s="6">
        <f t="shared" ref="G23:P23" si="20">G18-G22</f>
        <v>267</v>
      </c>
      <c r="H23" s="6">
        <f t="shared" si="20"/>
        <v>316</v>
      </c>
      <c r="I23" s="6">
        <f t="shared" si="20"/>
        <v>316</v>
      </c>
      <c r="J23" s="6">
        <f t="shared" si="20"/>
        <v>645</v>
      </c>
      <c r="K23" s="6">
        <f t="shared" si="20"/>
        <v>302</v>
      </c>
      <c r="L23" s="6">
        <f t="shared" si="20"/>
        <v>342</v>
      </c>
      <c r="M23" s="6">
        <f t="shared" si="20"/>
        <v>429</v>
      </c>
      <c r="N23" s="6">
        <f t="shared" si="20"/>
        <v>816</v>
      </c>
      <c r="O23" s="6">
        <f t="shared" si="20"/>
        <v>394</v>
      </c>
      <c r="P23" s="6">
        <f t="shared" si="20"/>
        <v>571</v>
      </c>
      <c r="Q23" s="6">
        <f t="shared" ref="Q23:R23" si="21">Q18-Q22</f>
        <v>581</v>
      </c>
      <c r="R23" s="6">
        <f t="shared" si="21"/>
        <v>1140</v>
      </c>
      <c r="S23" s="6">
        <f>S18*0.25</f>
        <v>497.28750000000002</v>
      </c>
      <c r="T23" s="6">
        <f>T18*0.25</f>
        <v>679.61</v>
      </c>
      <c r="U23" s="6">
        <f>U18*0.26</f>
        <v>831.6099999999999</v>
      </c>
      <c r="V23" s="6">
        <f>V18*0.34</f>
        <v>1454.673</v>
      </c>
      <c r="Z23" s="6">
        <f>Z18-Z22</f>
        <v>1218</v>
      </c>
      <c r="AA23" s="6">
        <f>AA18-AA22</f>
        <v>1388</v>
      </c>
      <c r="AB23" s="6">
        <f>AB18-AB22</f>
        <v>1544</v>
      </c>
      <c r="AC23" s="6">
        <f>AC18-AC22</f>
        <v>1889</v>
      </c>
      <c r="AD23" s="6">
        <f>AD18-AD22</f>
        <v>2686</v>
      </c>
      <c r="AE23" s="6">
        <f t="shared" ref="AE23:AO23" si="22">AE18-AE22</f>
        <v>3463.1805000000022</v>
      </c>
      <c r="AF23" s="6">
        <f t="shared" si="22"/>
        <v>3486.0448500000002</v>
      </c>
      <c r="AG23" s="6">
        <f t="shared" si="22"/>
        <v>3761.9253297499999</v>
      </c>
      <c r="AH23" s="6">
        <f t="shared" si="22"/>
        <v>3940.3335465474993</v>
      </c>
      <c r="AI23" s="6">
        <f t="shared" si="22"/>
        <v>4059.6386897504744</v>
      </c>
      <c r="AJ23" s="6">
        <f t="shared" si="22"/>
        <v>4144.1084886114804</v>
      </c>
      <c r="AK23" s="6">
        <f t="shared" si="22"/>
        <v>4230.5185966271856</v>
      </c>
      <c r="AL23" s="6">
        <f t="shared" si="22"/>
        <v>4318.9189728576239</v>
      </c>
      <c r="AM23" s="6">
        <f t="shared" si="22"/>
        <v>4409.3610513580206</v>
      </c>
      <c r="AN23" s="6">
        <f t="shared" si="22"/>
        <v>4501.8977916140429</v>
      </c>
      <c r="AO23" s="6">
        <f t="shared" si="22"/>
        <v>4596.5837309428389</v>
      </c>
    </row>
    <row r="24" spans="2:41" x14ac:dyDescent="0.3">
      <c r="B24" t="s">
        <v>12</v>
      </c>
      <c r="C24" s="3">
        <v>58</v>
      </c>
      <c r="D24" s="3">
        <v>58</v>
      </c>
      <c r="G24" s="3">
        <v>60</v>
      </c>
      <c r="H24" s="3">
        <v>62</v>
      </c>
      <c r="I24" s="3">
        <v>63</v>
      </c>
      <c r="J24" s="9">
        <f>AB24-I24-H24-G24</f>
        <v>64</v>
      </c>
      <c r="K24" s="3">
        <v>63</v>
      </c>
      <c r="L24" s="3">
        <v>63</v>
      </c>
      <c r="M24" s="3">
        <v>79</v>
      </c>
      <c r="N24" s="9">
        <f>AC24-M24-L24-K24</f>
        <v>103</v>
      </c>
      <c r="O24" s="3">
        <v>91</v>
      </c>
      <c r="P24" s="3">
        <v>91</v>
      </c>
      <c r="Q24" s="3">
        <v>95</v>
      </c>
      <c r="R24" s="3">
        <f>AD24-Q24-P24-O24</f>
        <v>126</v>
      </c>
      <c r="S24" s="3">
        <v>95</v>
      </c>
      <c r="T24" s="3">
        <v>95</v>
      </c>
      <c r="U24" s="3">
        <v>95</v>
      </c>
      <c r="V24" s="3">
        <v>130</v>
      </c>
      <c r="Z24" s="3">
        <v>282</v>
      </c>
      <c r="AA24" s="3">
        <v>251</v>
      </c>
      <c r="AB24" s="3">
        <v>249</v>
      </c>
      <c r="AC24" s="3">
        <v>308</v>
      </c>
      <c r="AD24" s="3">
        <v>403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2:41" x14ac:dyDescent="0.3">
      <c r="B25" t="s">
        <v>13</v>
      </c>
      <c r="C25" s="3">
        <v>-21</v>
      </c>
      <c r="D25" s="3">
        <v>-30</v>
      </c>
      <c r="G25" s="3">
        <v>-29</v>
      </c>
      <c r="H25" s="3">
        <v>-39</v>
      </c>
      <c r="I25" s="3">
        <v>-53</v>
      </c>
      <c r="J25" s="9">
        <f>AB25-I25-H25-G25</f>
        <v>-100</v>
      </c>
      <c r="K25" s="3">
        <v>-32</v>
      </c>
      <c r="L25" s="3">
        <v>-22</v>
      </c>
      <c r="M25" s="3">
        <v>-41</v>
      </c>
      <c r="N25" s="9">
        <f>AC25-M25-L25-K25</f>
        <v>-58</v>
      </c>
      <c r="O25" s="3">
        <v>-42</v>
      </c>
      <c r="P25" s="3">
        <v>-39</v>
      </c>
      <c r="Q25" s="3">
        <v>-51</v>
      </c>
      <c r="R25" s="3">
        <f>AD25-Q25-P25-O25</f>
        <v>-96</v>
      </c>
      <c r="S25" s="3">
        <f>O25*1.3</f>
        <v>-54.6</v>
      </c>
      <c r="T25" s="3">
        <f t="shared" ref="T25:V25" si="23">P25*1.3</f>
        <v>-50.7</v>
      </c>
      <c r="U25" s="3">
        <f t="shared" si="23"/>
        <v>-66.3</v>
      </c>
      <c r="V25" s="3">
        <f t="shared" si="23"/>
        <v>-124.80000000000001</v>
      </c>
      <c r="Z25" s="3">
        <v>-114</v>
      </c>
      <c r="AA25" s="3">
        <v>-134</v>
      </c>
      <c r="AB25" s="3">
        <v>-221</v>
      </c>
      <c r="AC25" s="3">
        <v>-153</v>
      </c>
      <c r="AD25" s="3">
        <v>-228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2:41" x14ac:dyDescent="0.3">
      <c r="B26" t="s">
        <v>14</v>
      </c>
      <c r="C26" s="3">
        <v>149</v>
      </c>
      <c r="D26" s="3">
        <v>154</v>
      </c>
      <c r="G26" s="3">
        <v>153</v>
      </c>
      <c r="H26" s="3">
        <v>166</v>
      </c>
      <c r="I26" s="3">
        <v>194</v>
      </c>
      <c r="J26" s="9">
        <f>AB26-I26-H26-G26</f>
        <v>255</v>
      </c>
      <c r="K26" s="3">
        <v>182</v>
      </c>
      <c r="L26" s="3">
        <v>183</v>
      </c>
      <c r="M26" s="3">
        <v>219</v>
      </c>
      <c r="N26" s="9">
        <f>AC26-M26-L26-K26</f>
        <v>305</v>
      </c>
      <c r="O26" s="3">
        <v>228</v>
      </c>
      <c r="P26" s="3">
        <v>277</v>
      </c>
      <c r="Q26" s="3">
        <v>247</v>
      </c>
      <c r="R26" s="3">
        <f>AD26-Q26-P26-O26</f>
        <v>368</v>
      </c>
      <c r="S26" s="3">
        <f>O26*1.2</f>
        <v>273.59999999999997</v>
      </c>
      <c r="T26" s="3">
        <f t="shared" ref="T26" si="24">P26*1.2</f>
        <v>332.4</v>
      </c>
      <c r="U26" s="3">
        <f>Q26*1.15</f>
        <v>284.04999999999995</v>
      </c>
      <c r="V26" s="3">
        <f>R26*1.1</f>
        <v>404.8</v>
      </c>
      <c r="Z26" s="3">
        <v>642</v>
      </c>
      <c r="AA26" s="3">
        <v>656</v>
      </c>
      <c r="AB26" s="3">
        <v>768</v>
      </c>
      <c r="AC26" s="3">
        <v>889</v>
      </c>
      <c r="AD26" s="3">
        <v>1120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2:41" x14ac:dyDescent="0.3">
      <c r="B27" t="s">
        <v>26</v>
      </c>
      <c r="C27" s="3">
        <f>SUM(C24:C26)</f>
        <v>186</v>
      </c>
      <c r="D27" s="3">
        <f>SUM(D24:D26)</f>
        <v>182</v>
      </c>
      <c r="G27" s="3">
        <f t="shared" ref="G27:P27" si="25">SUM(G24:G26)</f>
        <v>184</v>
      </c>
      <c r="H27" s="3">
        <f t="shared" si="25"/>
        <v>189</v>
      </c>
      <c r="I27" s="3">
        <f t="shared" si="25"/>
        <v>204</v>
      </c>
      <c r="J27" s="3">
        <f t="shared" si="25"/>
        <v>219</v>
      </c>
      <c r="K27" s="3">
        <f t="shared" si="25"/>
        <v>213</v>
      </c>
      <c r="L27" s="3">
        <f t="shared" si="25"/>
        <v>224</v>
      </c>
      <c r="M27" s="3">
        <f t="shared" si="25"/>
        <v>257</v>
      </c>
      <c r="N27" s="3">
        <f t="shared" si="25"/>
        <v>350</v>
      </c>
      <c r="O27" s="3">
        <f t="shared" si="25"/>
        <v>277</v>
      </c>
      <c r="P27" s="3">
        <f t="shared" si="25"/>
        <v>329</v>
      </c>
      <c r="Q27" s="3">
        <f t="shared" ref="Q27:R27" si="26">SUM(Q24:Q26)</f>
        <v>291</v>
      </c>
      <c r="R27" s="3">
        <f t="shared" si="26"/>
        <v>398</v>
      </c>
      <c r="S27" s="3">
        <f t="shared" ref="S27:V27" si="27">SUM(S24:S26)</f>
        <v>313.99999999999994</v>
      </c>
      <c r="T27" s="3">
        <f t="shared" si="27"/>
        <v>376.7</v>
      </c>
      <c r="U27" s="3">
        <f t="shared" si="27"/>
        <v>312.74999999999994</v>
      </c>
      <c r="V27" s="3">
        <f t="shared" si="27"/>
        <v>410</v>
      </c>
      <c r="Z27" s="3">
        <f>SUM(Z24:Z26)</f>
        <v>810</v>
      </c>
      <c r="AA27" s="3">
        <f>SUM(AA24:AA26)</f>
        <v>773</v>
      </c>
      <c r="AB27" s="3">
        <f>SUM(AB24:AB26)</f>
        <v>796</v>
      </c>
      <c r="AC27" s="3">
        <f>SUM(AC24:AC26)</f>
        <v>1044</v>
      </c>
      <c r="AD27" s="3">
        <f>SUM(AD24:AD26)</f>
        <v>1295</v>
      </c>
      <c r="AE27" s="3">
        <f>SUM(S27:V27)</f>
        <v>1413.4499999999998</v>
      </c>
      <c r="AF27" s="3">
        <f>(AE27*1.05)-400</f>
        <v>1084.1224999999999</v>
      </c>
      <c r="AG27" s="3">
        <f>AF27*1.04</f>
        <v>1127.4874</v>
      </c>
      <c r="AH27" s="3">
        <f>AG27*1.03</f>
        <v>1161.3120220000001</v>
      </c>
      <c r="AI27" s="3">
        <f>AH27*1.02</f>
        <v>1184.5382624400002</v>
      </c>
      <c r="AJ27" s="3">
        <f t="shared" ref="AJ27:AO27" si="28">AI27*1.02</f>
        <v>1208.2290276888002</v>
      </c>
      <c r="AK27" s="3">
        <f t="shared" si="28"/>
        <v>1232.3936082425762</v>
      </c>
      <c r="AL27" s="3">
        <f t="shared" si="28"/>
        <v>1257.0414804074278</v>
      </c>
      <c r="AM27" s="3">
        <f t="shared" si="28"/>
        <v>1282.1823100155764</v>
      </c>
      <c r="AN27" s="3">
        <f t="shared" si="28"/>
        <v>1307.825956215888</v>
      </c>
      <c r="AO27" s="3">
        <f t="shared" si="28"/>
        <v>1333.9824753402058</v>
      </c>
    </row>
    <row r="28" spans="2:41" s="1" customFormat="1" x14ac:dyDescent="0.3">
      <c r="B28" s="1" t="s">
        <v>24</v>
      </c>
      <c r="C28" s="6">
        <f>C23-C27</f>
        <v>88</v>
      </c>
      <c r="D28" s="6">
        <f>D23-D27</f>
        <v>105</v>
      </c>
      <c r="G28" s="6">
        <f t="shared" ref="G28:P28" si="29">G23-G27</f>
        <v>83</v>
      </c>
      <c r="H28" s="6">
        <f t="shared" si="29"/>
        <v>127</v>
      </c>
      <c r="I28" s="6">
        <f t="shared" si="29"/>
        <v>112</v>
      </c>
      <c r="J28" s="6">
        <f t="shared" si="29"/>
        <v>426</v>
      </c>
      <c r="K28" s="6">
        <f t="shared" si="29"/>
        <v>89</v>
      </c>
      <c r="L28" s="6">
        <f t="shared" si="29"/>
        <v>118</v>
      </c>
      <c r="M28" s="6">
        <f t="shared" si="29"/>
        <v>172</v>
      </c>
      <c r="N28" s="6">
        <f t="shared" si="29"/>
        <v>466</v>
      </c>
      <c r="O28" s="6">
        <f t="shared" si="29"/>
        <v>117</v>
      </c>
      <c r="P28" s="6">
        <f t="shared" si="29"/>
        <v>242</v>
      </c>
      <c r="Q28" s="6">
        <f t="shared" ref="Q28:R28" si="30">Q23-Q27</f>
        <v>290</v>
      </c>
      <c r="R28" s="6">
        <f t="shared" si="30"/>
        <v>742</v>
      </c>
      <c r="S28" s="6">
        <f t="shared" ref="S28:V28" si="31">S23-S27</f>
        <v>183.28750000000008</v>
      </c>
      <c r="T28" s="6">
        <f t="shared" si="31"/>
        <v>302.91000000000003</v>
      </c>
      <c r="U28" s="6">
        <f t="shared" si="31"/>
        <v>518.8599999999999</v>
      </c>
      <c r="V28" s="6">
        <f t="shared" si="31"/>
        <v>1044.673</v>
      </c>
      <c r="Z28" s="6">
        <f>Z23-Z27</f>
        <v>408</v>
      </c>
      <c r="AA28" s="6">
        <f>AA23-AA27</f>
        <v>615</v>
      </c>
      <c r="AB28" s="6">
        <f>AB23-AB27</f>
        <v>748</v>
      </c>
      <c r="AC28" s="6">
        <f>AC23-AC27</f>
        <v>845</v>
      </c>
      <c r="AD28" s="6">
        <f t="shared" ref="AD28:AO28" si="32">AD23-AD27</f>
        <v>1391</v>
      </c>
      <c r="AE28" s="6">
        <f t="shared" si="32"/>
        <v>2049.7305000000024</v>
      </c>
      <c r="AF28" s="6">
        <f t="shared" si="32"/>
        <v>2401.9223500000003</v>
      </c>
      <c r="AG28" s="6">
        <f t="shared" si="32"/>
        <v>2634.43792975</v>
      </c>
      <c r="AH28" s="6">
        <f t="shared" si="32"/>
        <v>2779.0215245474992</v>
      </c>
      <c r="AI28" s="6">
        <f t="shared" si="32"/>
        <v>2875.1004273104745</v>
      </c>
      <c r="AJ28" s="6">
        <f t="shared" si="32"/>
        <v>2935.8794609226802</v>
      </c>
      <c r="AK28" s="6">
        <f t="shared" si="32"/>
        <v>2998.1249883846094</v>
      </c>
      <c r="AL28" s="6">
        <f t="shared" si="32"/>
        <v>3061.8774924501959</v>
      </c>
      <c r="AM28" s="6">
        <f t="shared" si="32"/>
        <v>3127.1787413424445</v>
      </c>
      <c r="AN28" s="6">
        <f t="shared" si="32"/>
        <v>3194.0718353981547</v>
      </c>
      <c r="AO28" s="6">
        <f t="shared" si="32"/>
        <v>3262.601255602633</v>
      </c>
    </row>
    <row r="29" spans="2:41" x14ac:dyDescent="0.3">
      <c r="B29" t="s">
        <v>15</v>
      </c>
      <c r="C29" s="3">
        <v>-7</v>
      </c>
      <c r="D29" s="3">
        <v>-4</v>
      </c>
      <c r="G29" s="3">
        <v>-17</v>
      </c>
      <c r="H29" s="3">
        <v>2</v>
      </c>
      <c r="I29" s="3">
        <v>-8</v>
      </c>
      <c r="J29" s="9">
        <f>AB29-I29-H29-G29</f>
        <v>-16</v>
      </c>
      <c r="K29" s="3">
        <v>10</v>
      </c>
      <c r="L29" s="3">
        <v>2</v>
      </c>
      <c r="M29" s="3">
        <v>-6</v>
      </c>
      <c r="N29" s="9">
        <f>AC29-M29-L29-K29</f>
        <v>-63</v>
      </c>
      <c r="O29" s="3">
        <v>1</v>
      </c>
      <c r="P29" s="3">
        <v>4</v>
      </c>
      <c r="Q29" s="3">
        <v>12</v>
      </c>
      <c r="R29" s="3">
        <f>AD29-Q29-P29-O29</f>
        <v>20</v>
      </c>
      <c r="S29" s="3"/>
      <c r="T29" s="3"/>
      <c r="U29" s="3"/>
      <c r="V29" s="3"/>
      <c r="Z29" s="3">
        <v>-13</v>
      </c>
      <c r="AA29" s="3">
        <v>-11</v>
      </c>
      <c r="AB29" s="3">
        <v>-39</v>
      </c>
      <c r="AC29" s="3">
        <v>-57</v>
      </c>
      <c r="AD29" s="3">
        <v>37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2:41" x14ac:dyDescent="0.3">
      <c r="B30" t="s">
        <v>16</v>
      </c>
      <c r="C30" s="3">
        <v>10</v>
      </c>
      <c r="D30" s="3">
        <v>1</v>
      </c>
      <c r="G30" s="3">
        <v>20</v>
      </c>
      <c r="H30" s="3">
        <v>21</v>
      </c>
      <c r="I30" s="3">
        <v>3</v>
      </c>
      <c r="J30" s="9">
        <f>AB30-I30-H30-G30</f>
        <v>4</v>
      </c>
      <c r="K30" s="3">
        <v>2</v>
      </c>
      <c r="L30" s="3">
        <v>-3</v>
      </c>
      <c r="M30" s="3">
        <v>8</v>
      </c>
      <c r="N30" s="9">
        <f>AC30-M30-L30-K30</f>
        <v>-1</v>
      </c>
      <c r="O30" s="3">
        <v>9</v>
      </c>
      <c r="P30" s="3">
        <v>2</v>
      </c>
      <c r="Q30" s="3">
        <v>8</v>
      </c>
      <c r="R30" s="3">
        <f>AD30-Q30-P30-O30</f>
        <v>-9</v>
      </c>
      <c r="S30" s="3"/>
      <c r="T30" s="3"/>
      <c r="U30" s="3"/>
      <c r="V30" s="3"/>
      <c r="Z30" s="3">
        <v>24</v>
      </c>
      <c r="AA30" s="3">
        <v>17</v>
      </c>
      <c r="AB30" s="3">
        <v>48</v>
      </c>
      <c r="AC30" s="3">
        <v>6</v>
      </c>
      <c r="AD30" s="3">
        <v>10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1" x14ac:dyDescent="0.3">
      <c r="B31" t="s">
        <v>17</v>
      </c>
      <c r="C31" s="3">
        <v>-2</v>
      </c>
      <c r="D31" s="3">
        <v>-2</v>
      </c>
      <c r="G31" s="3">
        <v>-1</v>
      </c>
      <c r="H31" s="3">
        <v>-1</v>
      </c>
      <c r="I31" s="3">
        <v>-1</v>
      </c>
      <c r="J31" s="9">
        <f>AB31-I31-H31-G31</f>
        <v>-9</v>
      </c>
      <c r="K31" s="3">
        <v>-16</v>
      </c>
      <c r="L31" s="3">
        <v>-3</v>
      </c>
      <c r="M31" s="3">
        <v>-5</v>
      </c>
      <c r="N31" s="9">
        <f>AC31-M31-L31-K31</f>
        <v>-5</v>
      </c>
      <c r="O31" s="3">
        <v>-5</v>
      </c>
      <c r="P31" s="3">
        <v>-4</v>
      </c>
      <c r="Q31" s="3">
        <v>-5</v>
      </c>
      <c r="R31" s="3">
        <f>AD31-Q31-P31-O31</f>
        <v>-5</v>
      </c>
      <c r="S31" s="3"/>
      <c r="T31" s="3"/>
      <c r="U31" s="3"/>
      <c r="V31" s="3"/>
      <c r="Z31" s="3">
        <v>-9</v>
      </c>
      <c r="AA31" s="3">
        <v>-4</v>
      </c>
      <c r="AB31" s="3">
        <v>-12</v>
      </c>
      <c r="AC31" s="3">
        <v>-29</v>
      </c>
      <c r="AD31" s="3">
        <v>-19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2:41" x14ac:dyDescent="0.3">
      <c r="B32" t="s">
        <v>18</v>
      </c>
      <c r="C32" s="3">
        <v>11</v>
      </c>
      <c r="D32" s="3">
        <v>7</v>
      </c>
      <c r="G32" s="3">
        <v>8</v>
      </c>
      <c r="H32" s="3">
        <v>7</v>
      </c>
      <c r="I32" s="3">
        <v>7</v>
      </c>
      <c r="J32" s="9">
        <f>AB32-I32-H32-G32</f>
        <v>10</v>
      </c>
      <c r="K32" s="3">
        <v>24</v>
      </c>
      <c r="L32" s="3">
        <v>18</v>
      </c>
      <c r="M32" s="3">
        <v>30</v>
      </c>
      <c r="N32" s="9">
        <f>AC32-M32-L32-K32</f>
        <v>39</v>
      </c>
      <c r="O32" s="3">
        <v>26</v>
      </c>
      <c r="P32" s="3">
        <v>32</v>
      </c>
      <c r="Q32" s="3">
        <v>28</v>
      </c>
      <c r="R32" s="3">
        <f>AD32-Q32-P32-O32</f>
        <v>49</v>
      </c>
      <c r="S32" s="3"/>
      <c r="T32" s="3"/>
      <c r="U32" s="3"/>
      <c r="V32" s="3"/>
      <c r="Z32" s="3">
        <v>40</v>
      </c>
      <c r="AA32" s="3">
        <v>31</v>
      </c>
      <c r="AB32" s="3">
        <v>32</v>
      </c>
      <c r="AC32" s="3">
        <v>111</v>
      </c>
      <c r="AD32" s="3">
        <v>135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2:152" x14ac:dyDescent="0.3">
      <c r="B33" t="s">
        <v>27</v>
      </c>
      <c r="C33" s="3">
        <f>SUM(C29:C32)</f>
        <v>12</v>
      </c>
      <c r="D33" s="3">
        <f>SUM(D29:D32)</f>
        <v>2</v>
      </c>
      <c r="G33" s="3">
        <f t="shared" ref="G33:P33" si="33">SUM(G29:G32)</f>
        <v>10</v>
      </c>
      <c r="H33" s="3">
        <f t="shared" si="33"/>
        <v>29</v>
      </c>
      <c r="I33" s="3">
        <f t="shared" si="33"/>
        <v>1</v>
      </c>
      <c r="J33" s="3">
        <f t="shared" si="33"/>
        <v>-11</v>
      </c>
      <c r="K33" s="3">
        <f t="shared" si="33"/>
        <v>20</v>
      </c>
      <c r="L33" s="3">
        <f t="shared" si="33"/>
        <v>14</v>
      </c>
      <c r="M33" s="3">
        <f t="shared" si="33"/>
        <v>27</v>
      </c>
      <c r="N33" s="3">
        <f t="shared" si="33"/>
        <v>-30</v>
      </c>
      <c r="O33" s="3">
        <f t="shared" si="33"/>
        <v>31</v>
      </c>
      <c r="P33" s="3">
        <f t="shared" si="33"/>
        <v>34</v>
      </c>
      <c r="Q33" s="3">
        <f t="shared" ref="Q33:R33" si="34">SUM(Q29:Q32)</f>
        <v>43</v>
      </c>
      <c r="R33" s="3">
        <f t="shared" si="34"/>
        <v>55</v>
      </c>
      <c r="S33" s="3">
        <f>O33*1.05</f>
        <v>32.550000000000004</v>
      </c>
      <c r="T33" s="3">
        <f t="shared" ref="T33:V33" si="35">P33*1.05</f>
        <v>35.700000000000003</v>
      </c>
      <c r="U33" s="3">
        <f t="shared" si="35"/>
        <v>45.15</v>
      </c>
      <c r="V33" s="3">
        <f t="shared" si="35"/>
        <v>57.75</v>
      </c>
      <c r="Z33" s="3">
        <f>SUM(Z29:Z32)</f>
        <v>42</v>
      </c>
      <c r="AA33" s="3">
        <f>SUM(AA29:AA32)</f>
        <v>33</v>
      </c>
      <c r="AB33" s="3">
        <f>SUM(AB29:AB32)</f>
        <v>29</v>
      </c>
      <c r="AC33" s="3">
        <f>SUM(AC29:AC32)</f>
        <v>31</v>
      </c>
      <c r="AD33" s="3">
        <f t="shared" ref="AD33" si="36">SUM(AD29:AD32)</f>
        <v>163</v>
      </c>
      <c r="AE33" s="3">
        <f>SUM(S33:V33)</f>
        <v>171.15</v>
      </c>
      <c r="AF33" s="3">
        <f>AE33*1.03</f>
        <v>176.28450000000001</v>
      </c>
      <c r="AG33" s="3">
        <f t="shared" ref="AG33:AO33" si="37">AF33*1.03</f>
        <v>181.573035</v>
      </c>
      <c r="AH33" s="3">
        <f t="shared" si="37"/>
        <v>187.02022605000002</v>
      </c>
      <c r="AI33" s="3">
        <f t="shared" si="37"/>
        <v>192.63083283150002</v>
      </c>
      <c r="AJ33" s="3">
        <f t="shared" si="37"/>
        <v>198.40975781644502</v>
      </c>
      <c r="AK33" s="3">
        <f t="shared" si="37"/>
        <v>204.36205055093839</v>
      </c>
      <c r="AL33" s="3">
        <f t="shared" si="37"/>
        <v>210.49291206746656</v>
      </c>
      <c r="AM33" s="3">
        <f t="shared" si="37"/>
        <v>216.80769942949055</v>
      </c>
      <c r="AN33" s="3">
        <f t="shared" si="37"/>
        <v>223.31193041237529</v>
      </c>
      <c r="AO33" s="3">
        <f t="shared" si="37"/>
        <v>230.01128832474654</v>
      </c>
    </row>
    <row r="34" spans="2:152" s="1" customFormat="1" x14ac:dyDescent="0.3">
      <c r="B34" s="1" t="s">
        <v>19</v>
      </c>
      <c r="C34" s="6">
        <f>C28-C33</f>
        <v>76</v>
      </c>
      <c r="D34" s="6">
        <f>D28-D33</f>
        <v>103</v>
      </c>
      <c r="G34" s="6">
        <f t="shared" ref="G34:P34" si="38">G28-G33</f>
        <v>73</v>
      </c>
      <c r="H34" s="6">
        <f t="shared" si="38"/>
        <v>98</v>
      </c>
      <c r="I34" s="6">
        <f t="shared" si="38"/>
        <v>111</v>
      </c>
      <c r="J34" s="6">
        <f t="shared" si="38"/>
        <v>437</v>
      </c>
      <c r="K34" s="6">
        <f t="shared" si="38"/>
        <v>69</v>
      </c>
      <c r="L34" s="6">
        <f t="shared" si="38"/>
        <v>104</v>
      </c>
      <c r="M34" s="6">
        <f t="shared" si="38"/>
        <v>145</v>
      </c>
      <c r="N34" s="6">
        <f t="shared" si="38"/>
        <v>496</v>
      </c>
      <c r="O34" s="6">
        <f t="shared" si="38"/>
        <v>86</v>
      </c>
      <c r="P34" s="6">
        <f t="shared" si="38"/>
        <v>208</v>
      </c>
      <c r="Q34" s="6">
        <f t="shared" ref="Q34:V34" si="39">Q28-Q33</f>
        <v>247</v>
      </c>
      <c r="R34" s="6">
        <f t="shared" si="39"/>
        <v>687</v>
      </c>
      <c r="S34" s="6">
        <f t="shared" si="39"/>
        <v>150.73750000000007</v>
      </c>
      <c r="T34" s="6">
        <f t="shared" si="39"/>
        <v>267.21000000000004</v>
      </c>
      <c r="U34" s="6">
        <f t="shared" si="39"/>
        <v>473.70999999999992</v>
      </c>
      <c r="V34" s="6">
        <f t="shared" si="39"/>
        <v>986.923</v>
      </c>
      <c r="Z34" s="6">
        <f>Z28-Z33</f>
        <v>366</v>
      </c>
      <c r="AA34" s="6">
        <f>AA28-AA33</f>
        <v>582</v>
      </c>
      <c r="AB34" s="6">
        <f>AB28-AB33</f>
        <v>719</v>
      </c>
      <c r="AC34" s="6">
        <f>AC28-AC33</f>
        <v>814</v>
      </c>
      <c r="AD34" s="6">
        <f t="shared" ref="AD34:AO34" si="40">AD28-AD33</f>
        <v>1228</v>
      </c>
      <c r="AE34" s="6">
        <f t="shared" si="40"/>
        <v>1878.5805000000023</v>
      </c>
      <c r="AF34" s="6">
        <f t="shared" si="40"/>
        <v>2225.6378500000001</v>
      </c>
      <c r="AG34" s="6">
        <f t="shared" si="40"/>
        <v>2452.8648947500001</v>
      </c>
      <c r="AH34" s="6">
        <f t="shared" si="40"/>
        <v>2592.0012984974992</v>
      </c>
      <c r="AI34" s="6">
        <f t="shared" si="40"/>
        <v>2682.4695944789746</v>
      </c>
      <c r="AJ34" s="6">
        <f t="shared" si="40"/>
        <v>2737.4697031062351</v>
      </c>
      <c r="AK34" s="6">
        <f t="shared" si="40"/>
        <v>2793.762937833671</v>
      </c>
      <c r="AL34" s="6">
        <f t="shared" si="40"/>
        <v>2851.3845803827294</v>
      </c>
      <c r="AM34" s="6">
        <f t="shared" si="40"/>
        <v>2910.3710419129538</v>
      </c>
      <c r="AN34" s="6">
        <f t="shared" si="40"/>
        <v>2970.7599049857795</v>
      </c>
      <c r="AO34" s="6">
        <f t="shared" si="40"/>
        <v>3032.5899672778864</v>
      </c>
    </row>
    <row r="35" spans="2:152" x14ac:dyDescent="0.3">
      <c r="B35" t="s">
        <v>20</v>
      </c>
      <c r="C35" s="3">
        <v>21</v>
      </c>
      <c r="D35" s="3">
        <v>24</v>
      </c>
      <c r="G35" s="3">
        <v>15</v>
      </c>
      <c r="H35" s="3">
        <v>30</v>
      </c>
      <c r="I35" s="3">
        <v>30</v>
      </c>
      <c r="J35" s="9">
        <f>AB35-I35-H35-G35</f>
        <v>108</v>
      </c>
      <c r="K35" s="3">
        <v>20</v>
      </c>
      <c r="L35" s="3">
        <v>31</v>
      </c>
      <c r="M35" s="3">
        <v>36</v>
      </c>
      <c r="N35" s="9">
        <f>AC35-M35-L35-K35</f>
        <v>98</v>
      </c>
      <c r="O35" s="3">
        <v>31</v>
      </c>
      <c r="P35" s="3">
        <v>56</v>
      </c>
      <c r="Q35" s="3">
        <v>74</v>
      </c>
      <c r="R35" s="3">
        <f>AD35-Q35-P35-O35</f>
        <v>172</v>
      </c>
      <c r="S35" s="3">
        <f>S34*0.27</f>
        <v>40.699125000000024</v>
      </c>
      <c r="T35" s="3">
        <f t="shared" ref="T35:V35" si="41">T34*0.27</f>
        <v>72.14670000000001</v>
      </c>
      <c r="U35" s="3">
        <f t="shared" si="41"/>
        <v>127.90169999999999</v>
      </c>
      <c r="V35" s="3">
        <f t="shared" si="41"/>
        <v>266.46921000000003</v>
      </c>
      <c r="Z35" s="3">
        <v>83</v>
      </c>
      <c r="AA35" s="3">
        <v>150</v>
      </c>
      <c r="AB35" s="3">
        <v>183</v>
      </c>
      <c r="AC35" s="3">
        <v>185</v>
      </c>
      <c r="AD35" s="3">
        <v>333</v>
      </c>
      <c r="AE35" s="3">
        <f>SUM(S35:V35)</f>
        <v>507.21673500000009</v>
      </c>
      <c r="AF35" s="3">
        <f>AF34*0.25</f>
        <v>556.40946250000002</v>
      </c>
      <c r="AG35" s="3">
        <f t="shared" ref="AG35:AO35" si="42">AG34*0.25</f>
        <v>613.21622368750002</v>
      </c>
      <c r="AH35" s="3">
        <f t="shared" si="42"/>
        <v>648.0003246243748</v>
      </c>
      <c r="AI35" s="3">
        <f t="shared" si="42"/>
        <v>670.61739861974365</v>
      </c>
      <c r="AJ35" s="3">
        <f t="shared" si="42"/>
        <v>684.36742577655878</v>
      </c>
      <c r="AK35" s="3">
        <f t="shared" si="42"/>
        <v>698.44073445841775</v>
      </c>
      <c r="AL35" s="3">
        <f t="shared" si="42"/>
        <v>712.84614509568235</v>
      </c>
      <c r="AM35" s="3">
        <f t="shared" si="42"/>
        <v>727.59276047823846</v>
      </c>
      <c r="AN35" s="3">
        <f t="shared" si="42"/>
        <v>742.68997624644487</v>
      </c>
      <c r="AO35" s="3">
        <f t="shared" si="42"/>
        <v>758.14749181947161</v>
      </c>
    </row>
    <row r="36" spans="2:152" x14ac:dyDescent="0.3">
      <c r="B36" t="s">
        <v>28</v>
      </c>
      <c r="C36" s="3">
        <f>-4+9</f>
        <v>5</v>
      </c>
      <c r="D36" s="3">
        <f>103+13</f>
        <v>116</v>
      </c>
      <c r="G36" s="3">
        <f>-1+13</f>
        <v>12</v>
      </c>
      <c r="H36" s="3">
        <f>-5+16</f>
        <v>11</v>
      </c>
      <c r="I36" s="3">
        <f>-5+10</f>
        <v>5</v>
      </c>
      <c r="J36" s="9">
        <f>AB36-I36-H36-G36</f>
        <v>32</v>
      </c>
      <c r="K36" s="3">
        <f>4-3</f>
        <v>1</v>
      </c>
      <c r="L36" s="3">
        <f>17-1</f>
        <v>16</v>
      </c>
      <c r="M36" s="3">
        <f>-2+9</f>
        <v>7</v>
      </c>
      <c r="N36" s="9">
        <f>AC36-M36-L36-K36</f>
        <v>71</v>
      </c>
      <c r="O36" s="3">
        <f>-1+6</f>
        <v>5</v>
      </c>
      <c r="P36" s="3">
        <f>17+72</f>
        <v>89</v>
      </c>
      <c r="Q36" s="3">
        <v>38</v>
      </c>
      <c r="R36" s="3">
        <f>AD36-Q36-P36-O36</f>
        <v>46</v>
      </c>
      <c r="S36" s="3">
        <f>S34*0.1</f>
        <v>15.073750000000008</v>
      </c>
      <c r="T36" s="3">
        <f t="shared" ref="T36:V36" si="43">T34*0.1</f>
        <v>26.721000000000004</v>
      </c>
      <c r="U36" s="3">
        <f t="shared" si="43"/>
        <v>47.370999999999995</v>
      </c>
      <c r="V36" s="3">
        <f t="shared" si="43"/>
        <v>98.692300000000003</v>
      </c>
      <c r="Z36" s="3">
        <f>283+27</f>
        <v>310</v>
      </c>
      <c r="AA36" s="3">
        <f>100+41</f>
        <v>141</v>
      </c>
      <c r="AB36" s="3">
        <f>-6+66</f>
        <v>60</v>
      </c>
      <c r="AC36" s="3">
        <f>44+51</f>
        <v>95</v>
      </c>
      <c r="AD36" s="3">
        <f>87+91</f>
        <v>178</v>
      </c>
      <c r="AE36" s="3">
        <f>SUM(S36:V36)</f>
        <v>187.85804999999999</v>
      </c>
      <c r="AF36" s="3">
        <f t="shared" ref="AF36:AO36" si="44">AF34*0.1</f>
        <v>222.56378500000002</v>
      </c>
      <c r="AG36" s="3">
        <f t="shared" si="44"/>
        <v>245.28648947500002</v>
      </c>
      <c r="AH36" s="3">
        <f t="shared" si="44"/>
        <v>259.20012984974994</v>
      </c>
      <c r="AI36" s="3">
        <f t="shared" si="44"/>
        <v>268.2469594478975</v>
      </c>
      <c r="AJ36" s="3">
        <f t="shared" si="44"/>
        <v>273.74697031062351</v>
      </c>
      <c r="AK36" s="3">
        <f t="shared" si="44"/>
        <v>279.37629378336709</v>
      </c>
      <c r="AL36" s="3">
        <f t="shared" si="44"/>
        <v>285.13845803827297</v>
      </c>
      <c r="AM36" s="3">
        <f t="shared" si="44"/>
        <v>291.03710419129538</v>
      </c>
      <c r="AN36" s="3">
        <f t="shared" si="44"/>
        <v>297.07599049857794</v>
      </c>
      <c r="AO36" s="3">
        <f t="shared" si="44"/>
        <v>303.25899672778866</v>
      </c>
    </row>
    <row r="37" spans="2:152" s="1" customFormat="1" x14ac:dyDescent="0.3">
      <c r="B37" s="1" t="s">
        <v>21</v>
      </c>
      <c r="C37" s="6">
        <f>C34-C35-C36</f>
        <v>50</v>
      </c>
      <c r="D37" s="6">
        <f>D34-D35-D36</f>
        <v>-37</v>
      </c>
      <c r="G37" s="6">
        <f t="shared" ref="G37:P37" si="45">G34-G35-G36</f>
        <v>46</v>
      </c>
      <c r="H37" s="6">
        <f t="shared" si="45"/>
        <v>57</v>
      </c>
      <c r="I37" s="6">
        <f t="shared" si="45"/>
        <v>76</v>
      </c>
      <c r="J37" s="6">
        <f t="shared" si="45"/>
        <v>297</v>
      </c>
      <c r="K37" s="6">
        <f t="shared" si="45"/>
        <v>48</v>
      </c>
      <c r="L37" s="6">
        <f t="shared" si="45"/>
        <v>57</v>
      </c>
      <c r="M37" s="6">
        <f t="shared" si="45"/>
        <v>102</v>
      </c>
      <c r="N37" s="6">
        <f t="shared" si="45"/>
        <v>327</v>
      </c>
      <c r="O37" s="6">
        <f t="shared" si="45"/>
        <v>50</v>
      </c>
      <c r="P37" s="6">
        <f t="shared" si="45"/>
        <v>63</v>
      </c>
      <c r="Q37" s="6">
        <f t="shared" ref="Q37:R37" si="46">Q34-Q35-Q36</f>
        <v>135</v>
      </c>
      <c r="R37" s="6">
        <f t="shared" si="46"/>
        <v>469</v>
      </c>
      <c r="S37" s="6">
        <f t="shared" ref="S37:V37" si="47">S34-S35-S36</f>
        <v>94.964625000000041</v>
      </c>
      <c r="T37" s="6">
        <f t="shared" si="47"/>
        <v>168.34230000000002</v>
      </c>
      <c r="U37" s="6">
        <f t="shared" si="47"/>
        <v>298.43729999999994</v>
      </c>
      <c r="V37" s="6">
        <f t="shared" si="47"/>
        <v>621.76148999999998</v>
      </c>
      <c r="Z37" s="6">
        <f>Z34-Z35-Z36</f>
        <v>-27</v>
      </c>
      <c r="AA37" s="6">
        <f>AA34-AA35-AA36</f>
        <v>291</v>
      </c>
      <c r="AB37" s="6">
        <f>AB34-AB35-AB36</f>
        <v>476</v>
      </c>
      <c r="AC37" s="6">
        <f>AC34-AC35-AC36</f>
        <v>534</v>
      </c>
      <c r="AD37" s="6">
        <f t="shared" ref="AD37:AO37" si="48">AD34-AD35-AD36</f>
        <v>717</v>
      </c>
      <c r="AE37" s="6">
        <f t="shared" si="48"/>
        <v>1183.5057150000023</v>
      </c>
      <c r="AF37" s="6">
        <f t="shared" si="48"/>
        <v>1446.6646025</v>
      </c>
      <c r="AG37" s="6">
        <f t="shared" si="48"/>
        <v>1594.3621815874999</v>
      </c>
      <c r="AH37" s="6">
        <f t="shared" si="48"/>
        <v>1684.8008440233743</v>
      </c>
      <c r="AI37" s="6">
        <f t="shared" si="48"/>
        <v>1743.6052364113334</v>
      </c>
      <c r="AJ37" s="6">
        <f t="shared" si="48"/>
        <v>1779.3553070190528</v>
      </c>
      <c r="AK37" s="6">
        <f t="shared" si="48"/>
        <v>1815.945909591886</v>
      </c>
      <c r="AL37" s="6">
        <f t="shared" si="48"/>
        <v>1853.3999772487739</v>
      </c>
      <c r="AM37" s="6">
        <f t="shared" si="48"/>
        <v>1891.7411772434202</v>
      </c>
      <c r="AN37" s="6">
        <f t="shared" si="48"/>
        <v>1930.9939382407565</v>
      </c>
      <c r="AO37" s="6">
        <f t="shared" si="48"/>
        <v>1971.1834787306261</v>
      </c>
      <c r="AP37" s="1">
        <f>AO37*(1+$AS$45)</f>
        <v>1951.4716439433198</v>
      </c>
      <c r="AQ37" s="1">
        <f t="shared" ref="AQ37:DB37" si="49">AP37*(1+$AS$45)</f>
        <v>1931.9569275038866</v>
      </c>
      <c r="AR37" s="1">
        <f t="shared" si="49"/>
        <v>1912.6373582288477</v>
      </c>
      <c r="AS37" s="1">
        <f t="shared" si="49"/>
        <v>1893.5109846465591</v>
      </c>
      <c r="AT37" s="1">
        <f t="shared" si="49"/>
        <v>1874.5758748000935</v>
      </c>
      <c r="AU37" s="1">
        <f t="shared" si="49"/>
        <v>1855.8301160520925</v>
      </c>
      <c r="AV37" s="1">
        <f t="shared" si="49"/>
        <v>1837.2718148915717</v>
      </c>
      <c r="AW37" s="1">
        <f t="shared" si="49"/>
        <v>1818.899096742656</v>
      </c>
      <c r="AX37" s="1">
        <f t="shared" si="49"/>
        <v>1800.7101057752293</v>
      </c>
      <c r="AY37" s="1">
        <f t="shared" si="49"/>
        <v>1782.7030047174769</v>
      </c>
      <c r="AZ37" s="1">
        <f t="shared" si="49"/>
        <v>1764.8759746703022</v>
      </c>
      <c r="BA37" s="1">
        <f t="shared" si="49"/>
        <v>1747.2272149235991</v>
      </c>
      <c r="BB37" s="1">
        <f t="shared" si="49"/>
        <v>1729.7549427743631</v>
      </c>
      <c r="BC37" s="1">
        <f t="shared" si="49"/>
        <v>1712.4573933466195</v>
      </c>
      <c r="BD37" s="1">
        <f t="shared" si="49"/>
        <v>1695.3328194131532</v>
      </c>
      <c r="BE37" s="1">
        <f t="shared" si="49"/>
        <v>1678.3794912190217</v>
      </c>
      <c r="BF37" s="1">
        <f t="shared" si="49"/>
        <v>1661.5956963068315</v>
      </c>
      <c r="BG37" s="1">
        <f t="shared" si="49"/>
        <v>1644.9797393437632</v>
      </c>
      <c r="BH37" s="1">
        <f t="shared" si="49"/>
        <v>1628.5299419503256</v>
      </c>
      <c r="BI37" s="1">
        <f t="shared" si="49"/>
        <v>1612.2446425308224</v>
      </c>
      <c r="BJ37" s="1">
        <f t="shared" si="49"/>
        <v>1596.1221961055141</v>
      </c>
      <c r="BK37" s="1">
        <f t="shared" si="49"/>
        <v>1580.160974144459</v>
      </c>
      <c r="BL37" s="1">
        <f t="shared" si="49"/>
        <v>1564.3593644030145</v>
      </c>
      <c r="BM37" s="1">
        <f t="shared" si="49"/>
        <v>1548.7157707589843</v>
      </c>
      <c r="BN37" s="1">
        <f t="shared" si="49"/>
        <v>1533.2286130513944</v>
      </c>
      <c r="BO37" s="1">
        <f t="shared" si="49"/>
        <v>1517.8963269208805</v>
      </c>
      <c r="BP37" s="1">
        <f t="shared" si="49"/>
        <v>1502.7173636516716</v>
      </c>
      <c r="BQ37" s="1">
        <f t="shared" si="49"/>
        <v>1487.6901900151549</v>
      </c>
      <c r="BR37" s="1">
        <f t="shared" si="49"/>
        <v>1472.8132881150034</v>
      </c>
      <c r="BS37" s="1">
        <f t="shared" si="49"/>
        <v>1458.0851552338534</v>
      </c>
      <c r="BT37" s="1">
        <f t="shared" si="49"/>
        <v>1443.5043036815148</v>
      </c>
      <c r="BU37" s="1">
        <f t="shared" si="49"/>
        <v>1429.0692606446996</v>
      </c>
      <c r="BV37" s="1">
        <f t="shared" si="49"/>
        <v>1414.7785680382526</v>
      </c>
      <c r="BW37" s="1">
        <f t="shared" si="49"/>
        <v>1400.63078235787</v>
      </c>
      <c r="BX37" s="1">
        <f t="shared" si="49"/>
        <v>1386.6244745342913</v>
      </c>
      <c r="BY37" s="1">
        <f t="shared" si="49"/>
        <v>1372.7582297889483</v>
      </c>
      <c r="BZ37" s="1">
        <f t="shared" si="49"/>
        <v>1359.0306474910587</v>
      </c>
      <c r="CA37" s="1">
        <f t="shared" si="49"/>
        <v>1345.4403410161481</v>
      </c>
      <c r="CB37" s="1">
        <f t="shared" si="49"/>
        <v>1331.9859376059865</v>
      </c>
      <c r="CC37" s="1">
        <f t="shared" si="49"/>
        <v>1318.6660782299266</v>
      </c>
      <c r="CD37" s="1">
        <f t="shared" si="49"/>
        <v>1305.4794174476274</v>
      </c>
      <c r="CE37" s="1">
        <f t="shared" si="49"/>
        <v>1292.4246232731512</v>
      </c>
      <c r="CF37" s="1">
        <f t="shared" si="49"/>
        <v>1279.5003770404196</v>
      </c>
      <c r="CG37" s="1">
        <f t="shared" si="49"/>
        <v>1266.7053732700153</v>
      </c>
      <c r="CH37" s="1">
        <f t="shared" si="49"/>
        <v>1254.0383195373151</v>
      </c>
      <c r="CI37" s="1">
        <f t="shared" si="49"/>
        <v>1241.497936341942</v>
      </c>
      <c r="CJ37" s="1">
        <f t="shared" si="49"/>
        <v>1229.0829569785226</v>
      </c>
      <c r="CK37" s="1">
        <f t="shared" si="49"/>
        <v>1216.7921274087373</v>
      </c>
      <c r="CL37" s="1">
        <f t="shared" si="49"/>
        <v>1204.62420613465</v>
      </c>
      <c r="CM37" s="1">
        <f t="shared" si="49"/>
        <v>1192.5779640733035</v>
      </c>
      <c r="CN37" s="1">
        <f t="shared" si="49"/>
        <v>1180.6521844325705</v>
      </c>
      <c r="CO37" s="1">
        <f t="shared" si="49"/>
        <v>1168.8456625882447</v>
      </c>
      <c r="CP37" s="1">
        <f t="shared" si="49"/>
        <v>1157.1572059623622</v>
      </c>
      <c r="CQ37" s="1">
        <f t="shared" si="49"/>
        <v>1145.5856339027387</v>
      </c>
      <c r="CR37" s="1">
        <f t="shared" si="49"/>
        <v>1134.1297775637113</v>
      </c>
      <c r="CS37" s="1">
        <f t="shared" si="49"/>
        <v>1122.7884797880743</v>
      </c>
      <c r="CT37" s="1">
        <f t="shared" si="49"/>
        <v>1111.5605949901935</v>
      </c>
      <c r="CU37" s="1">
        <f t="shared" si="49"/>
        <v>1100.4449890402916</v>
      </c>
      <c r="CV37" s="1">
        <f t="shared" si="49"/>
        <v>1089.4405391498888</v>
      </c>
      <c r="CW37" s="1">
        <f t="shared" si="49"/>
        <v>1078.5461337583899</v>
      </c>
      <c r="CX37" s="1">
        <f t="shared" si="49"/>
        <v>1067.760672420806</v>
      </c>
      <c r="CY37" s="1">
        <f t="shared" si="49"/>
        <v>1057.0830656965979</v>
      </c>
      <c r="CZ37" s="1">
        <f t="shared" si="49"/>
        <v>1046.5122350396321</v>
      </c>
      <c r="DA37" s="1">
        <f t="shared" si="49"/>
        <v>1036.0471126892357</v>
      </c>
      <c r="DB37" s="1">
        <f t="shared" si="49"/>
        <v>1025.6866415623433</v>
      </c>
      <c r="DC37" s="1">
        <f t="shared" ref="DC37:EV37" si="50">DB37*(1+$AS$45)</f>
        <v>1015.4297751467199</v>
      </c>
      <c r="DD37" s="1">
        <f t="shared" si="50"/>
        <v>1005.2754773952527</v>
      </c>
      <c r="DE37" s="1">
        <f t="shared" si="50"/>
        <v>995.22272262130014</v>
      </c>
      <c r="DF37" s="1">
        <f t="shared" si="50"/>
        <v>985.2704953950871</v>
      </c>
      <c r="DG37" s="1">
        <f t="shared" si="50"/>
        <v>975.41779044113616</v>
      </c>
      <c r="DH37" s="1">
        <f t="shared" si="50"/>
        <v>965.66361253672483</v>
      </c>
      <c r="DI37" s="1">
        <f t="shared" si="50"/>
        <v>956.00697641135753</v>
      </c>
      <c r="DJ37" s="1">
        <f t="shared" si="50"/>
        <v>946.44690664724396</v>
      </c>
      <c r="DK37" s="1">
        <f t="shared" si="50"/>
        <v>936.98243758077149</v>
      </c>
      <c r="DL37" s="1">
        <f t="shared" si="50"/>
        <v>927.61261320496374</v>
      </c>
      <c r="DM37" s="1">
        <f t="shared" si="50"/>
        <v>918.33648707291411</v>
      </c>
      <c r="DN37" s="1">
        <f t="shared" si="50"/>
        <v>909.15312220218493</v>
      </c>
      <c r="DO37" s="1">
        <f t="shared" si="50"/>
        <v>900.06159098016303</v>
      </c>
      <c r="DP37" s="1">
        <f t="shared" si="50"/>
        <v>891.06097507036134</v>
      </c>
      <c r="DQ37" s="1">
        <f t="shared" si="50"/>
        <v>882.15036531965768</v>
      </c>
      <c r="DR37" s="1">
        <f t="shared" si="50"/>
        <v>873.32886166646108</v>
      </c>
      <c r="DS37" s="1">
        <f t="shared" si="50"/>
        <v>864.59557304979649</v>
      </c>
      <c r="DT37" s="1">
        <f t="shared" si="50"/>
        <v>855.94961731929857</v>
      </c>
      <c r="DU37" s="1">
        <f t="shared" si="50"/>
        <v>847.39012114610557</v>
      </c>
      <c r="DV37" s="1">
        <f t="shared" si="50"/>
        <v>838.91621993464446</v>
      </c>
      <c r="DW37" s="1">
        <f t="shared" si="50"/>
        <v>830.52705773529806</v>
      </c>
      <c r="DX37" s="1">
        <f t="shared" si="50"/>
        <v>822.22178715794507</v>
      </c>
      <c r="DY37" s="1">
        <f t="shared" si="50"/>
        <v>813.99956928636561</v>
      </c>
      <c r="DZ37" s="1">
        <f t="shared" si="50"/>
        <v>805.85957359350198</v>
      </c>
      <c r="EA37" s="1">
        <f t="shared" si="50"/>
        <v>797.80097785756698</v>
      </c>
      <c r="EB37" s="1">
        <f t="shared" si="50"/>
        <v>789.82296807899127</v>
      </c>
      <c r="EC37" s="1">
        <f t="shared" si="50"/>
        <v>781.92473839820138</v>
      </c>
      <c r="ED37" s="1">
        <f t="shared" si="50"/>
        <v>774.10549101421941</v>
      </c>
      <c r="EE37" s="1">
        <f t="shared" si="50"/>
        <v>766.36443610407719</v>
      </c>
      <c r="EF37" s="1">
        <f t="shared" si="50"/>
        <v>758.70079174303646</v>
      </c>
      <c r="EG37" s="1">
        <f t="shared" si="50"/>
        <v>751.11378382560611</v>
      </c>
      <c r="EH37" s="1">
        <f t="shared" si="50"/>
        <v>743.60264598735</v>
      </c>
      <c r="EI37" s="1">
        <f t="shared" si="50"/>
        <v>736.16661952747654</v>
      </c>
      <c r="EJ37" s="1">
        <f t="shared" si="50"/>
        <v>728.80495333220176</v>
      </c>
      <c r="EK37" s="1">
        <f t="shared" si="50"/>
        <v>721.51690379887975</v>
      </c>
      <c r="EL37" s="1">
        <f t="shared" si="50"/>
        <v>714.30173476089089</v>
      </c>
      <c r="EM37" s="1">
        <f t="shared" si="50"/>
        <v>707.15871741328203</v>
      </c>
      <c r="EN37" s="1">
        <f t="shared" si="50"/>
        <v>700.08713023914925</v>
      </c>
      <c r="EO37" s="1">
        <f t="shared" si="50"/>
        <v>693.08625893675776</v>
      </c>
      <c r="EP37" s="1">
        <f t="shared" si="50"/>
        <v>686.15539634739014</v>
      </c>
      <c r="EQ37" s="1">
        <f t="shared" si="50"/>
        <v>679.29384238391629</v>
      </c>
      <c r="ER37" s="1">
        <f t="shared" si="50"/>
        <v>672.50090396007715</v>
      </c>
      <c r="ES37" s="1">
        <f t="shared" si="50"/>
        <v>665.77589492047639</v>
      </c>
      <c r="ET37" s="1">
        <f t="shared" si="50"/>
        <v>659.11813597127161</v>
      </c>
      <c r="EU37" s="1">
        <f t="shared" si="50"/>
        <v>652.52695461155884</v>
      </c>
      <c r="EV37" s="1">
        <f t="shared" si="50"/>
        <v>646.00168506544321</v>
      </c>
    </row>
    <row r="38" spans="2:152" x14ac:dyDescent="0.3">
      <c r="B38" t="s">
        <v>2</v>
      </c>
      <c r="C38" s="3">
        <v>43.43</v>
      </c>
      <c r="D38" s="3">
        <v>43.43</v>
      </c>
      <c r="G38" s="3">
        <v>43.43</v>
      </c>
      <c r="H38" s="3">
        <v>43.43</v>
      </c>
      <c r="I38" s="3">
        <v>43.43</v>
      </c>
      <c r="J38" s="3">
        <v>43.43</v>
      </c>
      <c r="K38" s="3">
        <v>43.43</v>
      </c>
      <c r="L38" s="3">
        <v>43.43</v>
      </c>
      <c r="M38" s="3">
        <v>43.43</v>
      </c>
      <c r="N38" s="3">
        <v>43.43</v>
      </c>
      <c r="O38" s="3">
        <v>43.43</v>
      </c>
      <c r="P38" s="3">
        <v>43.43</v>
      </c>
      <c r="Q38" s="3">
        <v>43.43</v>
      </c>
      <c r="R38" s="3">
        <v>43.43</v>
      </c>
      <c r="S38" s="3">
        <v>43.43</v>
      </c>
      <c r="T38" s="3">
        <v>43.43</v>
      </c>
      <c r="U38" s="3">
        <v>43.43</v>
      </c>
      <c r="V38" s="3">
        <v>43.43</v>
      </c>
      <c r="Z38" s="3">
        <v>43.43</v>
      </c>
      <c r="AA38" s="3">
        <v>43.43</v>
      </c>
      <c r="AB38" s="3">
        <v>43.43</v>
      </c>
      <c r="AC38" s="3">
        <v>43.43</v>
      </c>
      <c r="AD38" s="3">
        <v>43.43</v>
      </c>
      <c r="AE38" s="3">
        <v>43.43</v>
      </c>
      <c r="AF38" s="3">
        <v>43.43</v>
      </c>
      <c r="AG38" s="3">
        <v>43.43</v>
      </c>
      <c r="AH38" s="3">
        <v>43.43</v>
      </c>
      <c r="AI38" s="3">
        <v>43.43</v>
      </c>
      <c r="AJ38" s="3">
        <v>43.43</v>
      </c>
      <c r="AK38" s="3">
        <v>43.43</v>
      </c>
      <c r="AL38" s="3">
        <v>43.43</v>
      </c>
      <c r="AM38" s="3">
        <v>43.43</v>
      </c>
      <c r="AN38" s="3">
        <v>43.43</v>
      </c>
      <c r="AO38" s="3">
        <v>43.43</v>
      </c>
    </row>
    <row r="39" spans="2:152" x14ac:dyDescent="0.3">
      <c r="B39" t="s">
        <v>22</v>
      </c>
      <c r="C39" s="5">
        <f>C37/C38</f>
        <v>1.1512779184895234</v>
      </c>
      <c r="D39" s="5">
        <f>D37/D38</f>
        <v>-0.85194565968224734</v>
      </c>
      <c r="G39" s="5">
        <f t="shared" ref="G39:P39" si="51">G37/G38</f>
        <v>1.0591756850103615</v>
      </c>
      <c r="H39" s="5">
        <f t="shared" si="51"/>
        <v>1.3124568270780566</v>
      </c>
      <c r="I39" s="5">
        <f t="shared" si="51"/>
        <v>1.7499424361040756</v>
      </c>
      <c r="J39" s="5">
        <f t="shared" si="51"/>
        <v>6.8385908358277687</v>
      </c>
      <c r="K39" s="5">
        <f t="shared" si="51"/>
        <v>1.1052268017499425</v>
      </c>
      <c r="L39" s="5">
        <f t="shared" si="51"/>
        <v>1.3124568270780566</v>
      </c>
      <c r="M39" s="5">
        <f t="shared" si="51"/>
        <v>2.3486069537186278</v>
      </c>
      <c r="N39" s="5">
        <f t="shared" si="51"/>
        <v>7.529357586921483</v>
      </c>
      <c r="O39" s="5">
        <f t="shared" si="51"/>
        <v>1.1512779184895234</v>
      </c>
      <c r="P39" s="5">
        <f t="shared" si="51"/>
        <v>1.4506101772967994</v>
      </c>
      <c r="Q39" s="5">
        <f t="shared" ref="Q39:R39" si="52">Q37/Q38</f>
        <v>3.1084503799217131</v>
      </c>
      <c r="R39" s="5">
        <f t="shared" si="52"/>
        <v>10.79898687543173</v>
      </c>
      <c r="S39" s="5">
        <f t="shared" ref="S39:V39" si="53">S37/S38</f>
        <v>2.186613516002764</v>
      </c>
      <c r="T39" s="5">
        <f t="shared" si="53"/>
        <v>3.8761754547547782</v>
      </c>
      <c r="U39" s="5">
        <f t="shared" si="53"/>
        <v>6.8716854708726673</v>
      </c>
      <c r="V39" s="5">
        <f t="shared" si="53"/>
        <v>14.316405480082892</v>
      </c>
      <c r="Z39" s="5">
        <f>Z37/Z38</f>
        <v>-0.62169007598434267</v>
      </c>
      <c r="AA39" s="5">
        <f>AA37/AA38</f>
        <v>6.7004374856090259</v>
      </c>
      <c r="AB39" s="5">
        <f>AB37/AB38</f>
        <v>10.960165784020262</v>
      </c>
      <c r="AC39" s="5">
        <f>AC37/AC38</f>
        <v>12.295648169468111</v>
      </c>
      <c r="AD39" s="5">
        <f t="shared" ref="AD39:AO39" si="54">AD37/AD38</f>
        <v>16.509325351139765</v>
      </c>
      <c r="AE39" s="5">
        <f t="shared" si="54"/>
        <v>27.250879921713153</v>
      </c>
      <c r="AF39" s="5">
        <f t="shared" si="54"/>
        <v>33.310260246373474</v>
      </c>
      <c r="AG39" s="5">
        <f t="shared" si="54"/>
        <v>36.711079474729445</v>
      </c>
      <c r="AH39" s="5">
        <f t="shared" si="54"/>
        <v>38.793480175532451</v>
      </c>
      <c r="AI39" s="5">
        <f t="shared" si="54"/>
        <v>40.147484144861465</v>
      </c>
      <c r="AJ39" s="5">
        <f t="shared" si="54"/>
        <v>40.97064948236364</v>
      </c>
      <c r="AK39" s="5">
        <f t="shared" si="54"/>
        <v>41.813168537690217</v>
      </c>
      <c r="AL39" s="5">
        <f t="shared" si="54"/>
        <v>42.675569358709971</v>
      </c>
      <c r="AM39" s="5">
        <f t="shared" si="54"/>
        <v>43.558396897154509</v>
      </c>
      <c r="AN39" s="5">
        <f t="shared" si="54"/>
        <v>44.462213636674107</v>
      </c>
      <c r="AO39" s="5">
        <f t="shared" si="54"/>
        <v>45.387600247078659</v>
      </c>
    </row>
    <row r="41" spans="2:152" x14ac:dyDescent="0.3">
      <c r="B41" t="s">
        <v>86</v>
      </c>
      <c r="R41" s="8">
        <f>R10/N10-1</f>
        <v>0.39818901578923427</v>
      </c>
    </row>
    <row r="42" spans="2:152" x14ac:dyDescent="0.3">
      <c r="B42" t="s">
        <v>76</v>
      </c>
      <c r="L42" s="8"/>
      <c r="M42" s="8"/>
      <c r="N42" s="8">
        <f t="shared" ref="N42:O42" si="55">N11/J11-1</f>
        <v>0.44099051633298214</v>
      </c>
      <c r="O42" s="8">
        <f t="shared" si="55"/>
        <v>0.42572887848478391</v>
      </c>
      <c r="P42" s="8">
        <f>P11/L11-1</f>
        <v>0.61264559068219637</v>
      </c>
      <c r="Q42" s="8">
        <f>Q11/M11-1</f>
        <v>0.41263879817112992</v>
      </c>
      <c r="R42" s="8">
        <f>R11/N11-1</f>
        <v>0.43570122747453643</v>
      </c>
    </row>
    <row r="43" spans="2:152" x14ac:dyDescent="0.3">
      <c r="L43" s="8"/>
      <c r="M43" s="8"/>
      <c r="N43" s="8"/>
      <c r="O43" s="8"/>
      <c r="P43" s="8"/>
      <c r="Q43" s="8"/>
      <c r="R43" s="8"/>
    </row>
    <row r="44" spans="2:152" x14ac:dyDescent="0.3">
      <c r="B44" t="s">
        <v>53</v>
      </c>
      <c r="G44" s="8">
        <f t="shared" ref="G44:G49" si="56">G13/C13-1</f>
        <v>-2.7093596059113323E-2</v>
      </c>
      <c r="H44" s="8">
        <f t="shared" ref="H44:H49" si="57">H13/D13-1</f>
        <v>-3.2537960954446832E-2</v>
      </c>
      <c r="I44" s="8"/>
      <c r="J44" s="8"/>
      <c r="K44" s="8">
        <f t="shared" ref="K44:K49" si="58">K13/G13-1</f>
        <v>0.15696202531645564</v>
      </c>
      <c r="L44" s="8">
        <f t="shared" ref="L44:L49" si="59">L13/H13-1</f>
        <v>0.22197309417040367</v>
      </c>
      <c r="M44" s="8">
        <f t="shared" ref="M44:M49" si="60">M13/I13-1</f>
        <v>0.40128755364806867</v>
      </c>
      <c r="N44" s="8">
        <f t="shared" ref="N44:N49" si="61">N13/J13-1</f>
        <v>-2.3305084745762761E-2</v>
      </c>
      <c r="O44" s="8">
        <f t="shared" ref="O44" si="62">O13/K13-1</f>
        <v>7.0021881838074451E-2</v>
      </c>
      <c r="P44" s="8">
        <f t="shared" ref="P44:P45" si="63">P13/L13-1</f>
        <v>0.47706422018348627</v>
      </c>
      <c r="Q44" s="8">
        <f t="shared" ref="Q44:Q49" si="64">Q13/M13-1</f>
        <v>0.8897396630934149</v>
      </c>
      <c r="R44" s="8">
        <f t="shared" ref="R44:R49" si="65">R13/N13-1</f>
        <v>0.34598698481561829</v>
      </c>
      <c r="S44" s="8">
        <f t="shared" ref="S44:S49" si="66">S13/O13-1</f>
        <v>0.35000000000000009</v>
      </c>
      <c r="T44" s="8">
        <f t="shared" ref="T44:T49" si="67">T13/P13-1</f>
        <v>0.5</v>
      </c>
      <c r="U44" s="8">
        <f t="shared" ref="U44:U49" si="68">U13/Q13-1</f>
        <v>0.30000000000000004</v>
      </c>
      <c r="V44" s="8">
        <f t="shared" ref="V44:V49" si="69">V13/R13-1</f>
        <v>0.35000000000000009</v>
      </c>
      <c r="AA44" s="8">
        <f t="shared" ref="AA44:AO44" si="70">AA13/Z13-1</f>
        <v>2.5711159737417999E-2</v>
      </c>
      <c r="AB44" s="8">
        <f t="shared" si="70"/>
        <v>0.20053333333333323</v>
      </c>
      <c r="AC44" s="8">
        <f t="shared" si="70"/>
        <v>0.14482452243447352</v>
      </c>
      <c r="AD44" s="8">
        <f t="shared" si="70"/>
        <v>0.46255335661622032</v>
      </c>
      <c r="AE44" s="8">
        <f t="shared" si="70"/>
        <v>0.36566728575218921</v>
      </c>
      <c r="AF44" s="8">
        <f t="shared" si="70"/>
        <v>0.14999999999999991</v>
      </c>
      <c r="AG44" s="8">
        <f t="shared" si="70"/>
        <v>8.0000000000000071E-2</v>
      </c>
      <c r="AH44" s="8">
        <f t="shared" si="70"/>
        <v>5.0000000000000044E-2</v>
      </c>
      <c r="AI44" s="8">
        <f t="shared" si="70"/>
        <v>3.0000000000000027E-2</v>
      </c>
      <c r="AJ44" s="8">
        <f t="shared" si="70"/>
        <v>2.0000000000000018E-2</v>
      </c>
      <c r="AK44" s="8">
        <f t="shared" si="70"/>
        <v>2.0000000000000018E-2</v>
      </c>
      <c r="AL44" s="8">
        <f t="shared" si="70"/>
        <v>2.0000000000000018E-2</v>
      </c>
      <c r="AM44" s="8">
        <f t="shared" si="70"/>
        <v>2.0000000000000018E-2</v>
      </c>
      <c r="AN44" s="8">
        <f t="shared" si="70"/>
        <v>2.0000000000000018E-2</v>
      </c>
      <c r="AO44" s="8">
        <f t="shared" si="70"/>
        <v>2.0000000000000018E-2</v>
      </c>
    </row>
    <row r="45" spans="2:152" x14ac:dyDescent="0.3">
      <c r="B45" t="s">
        <v>54</v>
      </c>
      <c r="G45" s="8">
        <f t="shared" si="56"/>
        <v>2.857142857142847E-2</v>
      </c>
      <c r="H45" s="8">
        <f t="shared" si="57"/>
        <v>0.11255411255411252</v>
      </c>
      <c r="I45" s="8"/>
      <c r="J45" s="8"/>
      <c r="K45" s="8">
        <f t="shared" si="58"/>
        <v>-0.19444444444444442</v>
      </c>
      <c r="L45" s="8">
        <f t="shared" si="59"/>
        <v>-3.5019455252918275E-2</v>
      </c>
      <c r="M45" s="8">
        <f t="shared" si="60"/>
        <v>0.66228070175438591</v>
      </c>
      <c r="N45" s="8">
        <f t="shared" si="61"/>
        <v>0.55606407322654472</v>
      </c>
      <c r="O45" s="8">
        <f t="shared" ref="O45" si="71">O14/K14-1</f>
        <v>0.84482758620689657</v>
      </c>
      <c r="P45" s="8">
        <f t="shared" si="63"/>
        <v>1.560483870967742</v>
      </c>
      <c r="Q45" s="8">
        <f t="shared" si="64"/>
        <v>0.17941952506596315</v>
      </c>
      <c r="R45" s="8">
        <f t="shared" si="65"/>
        <v>0.66470588235294126</v>
      </c>
      <c r="S45" s="8">
        <f t="shared" si="66"/>
        <v>0.60000000000000009</v>
      </c>
      <c r="T45" s="8">
        <f t="shared" si="67"/>
        <v>5.0000000000000044E-2</v>
      </c>
      <c r="U45" s="8">
        <f t="shared" si="68"/>
        <v>0.7</v>
      </c>
      <c r="V45" s="8">
        <f t="shared" si="69"/>
        <v>0.19999999999999996</v>
      </c>
      <c r="AA45" s="8">
        <f t="shared" ref="AA45" si="72">AA14/Z14-1</f>
        <v>1.878354203935606E-2</v>
      </c>
      <c r="AB45" s="8">
        <f t="shared" ref="AB45:AC45" si="73">AB14/AA14-1</f>
        <v>-8.779631255487752E-4</v>
      </c>
      <c r="AC45" s="8">
        <f t="shared" si="73"/>
        <v>0.30140597539543057</v>
      </c>
      <c r="AD45" s="8">
        <f t="shared" ref="AD45:AO45" si="74">AD14/AC14-1</f>
        <v>0.71168129642133704</v>
      </c>
      <c r="AE45" s="8">
        <f t="shared" si="74"/>
        <v>0.30124260355029575</v>
      </c>
      <c r="AF45" s="8">
        <f t="shared" si="74"/>
        <v>0.19999999999999996</v>
      </c>
      <c r="AG45" s="8">
        <f t="shared" si="74"/>
        <v>0.10000000000000009</v>
      </c>
      <c r="AH45" s="8">
        <f t="shared" si="74"/>
        <v>5.0000000000000044E-2</v>
      </c>
      <c r="AI45" s="8">
        <f t="shared" si="74"/>
        <v>3.0000000000000027E-2</v>
      </c>
      <c r="AJ45" s="8">
        <f t="shared" si="74"/>
        <v>2.0000000000000018E-2</v>
      </c>
      <c r="AK45" s="8">
        <f t="shared" si="74"/>
        <v>2.0000000000000018E-2</v>
      </c>
      <c r="AL45" s="8">
        <f t="shared" si="74"/>
        <v>2.0000000000000018E-2</v>
      </c>
      <c r="AM45" s="8">
        <f t="shared" si="74"/>
        <v>2.0000000000000018E-2</v>
      </c>
      <c r="AN45" s="8">
        <f t="shared" si="74"/>
        <v>2.0000000000000018E-2</v>
      </c>
      <c r="AO45" s="8">
        <f t="shared" si="74"/>
        <v>2.0000000000000018E-2</v>
      </c>
      <c r="AR45" t="s">
        <v>58</v>
      </c>
      <c r="AS45" s="8">
        <v>-0.01</v>
      </c>
    </row>
    <row r="46" spans="2:152" x14ac:dyDescent="0.3">
      <c r="B46" t="s">
        <v>55</v>
      </c>
      <c r="G46" s="8">
        <f t="shared" si="56"/>
        <v>-6.3829787234042534E-2</v>
      </c>
      <c r="H46" s="8">
        <f t="shared" si="57"/>
        <v>0.17283950617283961</v>
      </c>
      <c r="I46" s="8"/>
      <c r="J46" s="8"/>
      <c r="K46" s="8">
        <f t="shared" si="58"/>
        <v>0.4015151515151516</v>
      </c>
      <c r="L46" s="8">
        <f t="shared" si="59"/>
        <v>0.11052631578947358</v>
      </c>
      <c r="M46" s="8">
        <f t="shared" si="60"/>
        <v>9.6774193548387011E-2</v>
      </c>
      <c r="N46" s="8">
        <f t="shared" si="61"/>
        <v>-3.4642032332563466E-2</v>
      </c>
      <c r="O46" s="8">
        <f t="shared" ref="O46:P46" si="75">O15/K15-1</f>
        <v>0.22702702702702693</v>
      </c>
      <c r="P46" s="8">
        <f t="shared" si="75"/>
        <v>0.2890995260663507</v>
      </c>
      <c r="Q46" s="8">
        <f t="shared" si="64"/>
        <v>0.39215686274509798</v>
      </c>
      <c r="R46" s="8">
        <f t="shared" si="65"/>
        <v>0.27511961722488043</v>
      </c>
      <c r="S46" s="8">
        <f t="shared" si="66"/>
        <v>0.35000000000000031</v>
      </c>
      <c r="T46" s="8">
        <f t="shared" si="67"/>
        <v>0.30000000000000004</v>
      </c>
      <c r="U46" s="8">
        <f t="shared" si="68"/>
        <v>0.30000000000000004</v>
      </c>
      <c r="V46" s="8">
        <f t="shared" si="69"/>
        <v>0.19999999999999996</v>
      </c>
      <c r="AA46" s="8">
        <f t="shared" ref="AA46:AC46" si="76">AA15/Z15-1</f>
        <v>-3.9948453608247392E-2</v>
      </c>
      <c r="AB46" s="8">
        <f t="shared" si="76"/>
        <v>0.26308724832214758</v>
      </c>
      <c r="AC46" s="8">
        <f t="shared" si="76"/>
        <v>8.1827842720510136E-2</v>
      </c>
      <c r="AD46" s="8">
        <f t="shared" ref="AD46:AO46" si="77">AD15/AC15-1</f>
        <v>0.29273084479371314</v>
      </c>
      <c r="AE46" s="8">
        <f t="shared" si="77"/>
        <v>0.26812310030395126</v>
      </c>
      <c r="AF46" s="8">
        <f t="shared" si="77"/>
        <v>0.14999999999999991</v>
      </c>
      <c r="AG46" s="8">
        <f t="shared" si="77"/>
        <v>8.0000000000000071E-2</v>
      </c>
      <c r="AH46" s="8">
        <f t="shared" si="77"/>
        <v>5.0000000000000044E-2</v>
      </c>
      <c r="AI46" s="8">
        <f t="shared" si="77"/>
        <v>4.0000000000000036E-2</v>
      </c>
      <c r="AJ46" s="8">
        <f t="shared" si="77"/>
        <v>3.0000000000000027E-2</v>
      </c>
      <c r="AK46" s="8">
        <f t="shared" si="77"/>
        <v>3.0000000000000027E-2</v>
      </c>
      <c r="AL46" s="8">
        <f t="shared" si="77"/>
        <v>3.0000000000000027E-2</v>
      </c>
      <c r="AM46" s="8">
        <f t="shared" si="77"/>
        <v>3.0000000000000027E-2</v>
      </c>
      <c r="AN46" s="8">
        <f t="shared" si="77"/>
        <v>3.0000000000000027E-2</v>
      </c>
      <c r="AO46" s="8">
        <f t="shared" si="77"/>
        <v>3.0000000000000027E-2</v>
      </c>
      <c r="AR46" t="s">
        <v>59</v>
      </c>
      <c r="AS46" s="8">
        <v>7.0000000000000007E-2</v>
      </c>
    </row>
    <row r="47" spans="2:152" x14ac:dyDescent="0.3">
      <c r="B47" t="s">
        <v>56</v>
      </c>
      <c r="G47" s="8">
        <f t="shared" si="56"/>
        <v>1.3752455795677854E-2</v>
      </c>
      <c r="H47" s="8">
        <f t="shared" si="57"/>
        <v>9.0128755364806912E-2</v>
      </c>
      <c r="I47" s="8"/>
      <c r="J47" s="8"/>
      <c r="K47" s="8">
        <f t="shared" si="58"/>
        <v>4.8449612403100861E-2</v>
      </c>
      <c r="L47" s="8">
        <f t="shared" si="59"/>
        <v>-4.7244094488189003E-2</v>
      </c>
      <c r="M47" s="8">
        <f t="shared" si="60"/>
        <v>-3.8022813688213253E-3</v>
      </c>
      <c r="N47" s="8">
        <f t="shared" si="61"/>
        <v>5.9760956175298752E-2</v>
      </c>
      <c r="O47" s="8">
        <f t="shared" ref="O47:P47" si="78">O16/K16-1</f>
        <v>-1.848428835489857E-3</v>
      </c>
      <c r="P47" s="8">
        <f t="shared" si="78"/>
        <v>5.9917355371900793E-2</v>
      </c>
      <c r="Q47" s="8">
        <f t="shared" si="64"/>
        <v>-7.6335877862595436E-2</v>
      </c>
      <c r="R47" s="8">
        <f t="shared" si="65"/>
        <v>-6.9548872180451138E-2</v>
      </c>
      <c r="S47" s="8">
        <f t="shared" si="66"/>
        <v>-6.9999999999999951E-2</v>
      </c>
      <c r="T47" s="8">
        <f t="shared" si="67"/>
        <v>-6.9999999999999951E-2</v>
      </c>
      <c r="U47" s="8">
        <f t="shared" si="68"/>
        <v>-5.0000000000000044E-2</v>
      </c>
      <c r="V47" s="8">
        <f t="shared" si="69"/>
        <v>-2.0000000000000018E-2</v>
      </c>
      <c r="AA47" s="8">
        <f t="shared" ref="AA47:AC47" si="79">AA16/Z16-1</f>
        <v>0.1166666666666667</v>
      </c>
      <c r="AB47" s="8">
        <f t="shared" si="79"/>
        <v>9.3816631130063888E-2</v>
      </c>
      <c r="AC47" s="8">
        <f t="shared" si="79"/>
        <v>1.4132553606237774E-2</v>
      </c>
      <c r="AD47" s="8">
        <f t="shared" ref="AD47:AO47" si="80">AD16/AC16-1</f>
        <v>-2.3546371936568944E-2</v>
      </c>
      <c r="AE47" s="8">
        <f t="shared" si="80"/>
        <v>-5.3056102362204705E-2</v>
      </c>
      <c r="AF47" s="8">
        <f t="shared" si="80"/>
        <v>1.0000000000000009E-2</v>
      </c>
      <c r="AG47" s="8">
        <f t="shared" si="80"/>
        <v>1.0000000000000009E-2</v>
      </c>
      <c r="AH47" s="8">
        <f t="shared" si="80"/>
        <v>1.0000000000000009E-2</v>
      </c>
      <c r="AI47" s="8">
        <f t="shared" si="80"/>
        <v>1.0000000000000009E-2</v>
      </c>
      <c r="AJ47" s="8">
        <f t="shared" si="80"/>
        <v>1.0000000000000009E-2</v>
      </c>
      <c r="AK47" s="8">
        <f t="shared" si="80"/>
        <v>1.0000000000000009E-2</v>
      </c>
      <c r="AL47" s="8">
        <f t="shared" si="80"/>
        <v>1.0000000000000009E-2</v>
      </c>
      <c r="AM47" s="8">
        <f t="shared" si="80"/>
        <v>1.0000000000000009E-2</v>
      </c>
      <c r="AN47" s="8">
        <f t="shared" si="80"/>
        <v>1.0000000000000009E-2</v>
      </c>
      <c r="AO47" s="8">
        <f t="shared" si="80"/>
        <v>1.0000000000000009E-2</v>
      </c>
      <c r="AR47" t="s">
        <v>60</v>
      </c>
      <c r="AS47" s="3">
        <f>NPV(AS46,AE37:EV37)</f>
        <v>24128.998815699284</v>
      </c>
    </row>
    <row r="48" spans="2:152" x14ac:dyDescent="0.3">
      <c r="B48" t="s">
        <v>57</v>
      </c>
      <c r="G48" s="8">
        <f t="shared" si="56"/>
        <v>2.5</v>
      </c>
      <c r="H48" s="8">
        <f t="shared" si="57"/>
        <v>-2.75</v>
      </c>
      <c r="I48" s="8"/>
      <c r="J48" s="8"/>
      <c r="K48" s="8">
        <f t="shared" si="58"/>
        <v>-0.1428571428571429</v>
      </c>
      <c r="L48" s="8">
        <f t="shared" si="59"/>
        <v>0.28571428571428581</v>
      </c>
      <c r="M48" s="8">
        <f t="shared" si="60"/>
        <v>-1.2222222222222223</v>
      </c>
      <c r="N48" s="8">
        <f t="shared" si="61"/>
        <v>0</v>
      </c>
      <c r="O48" s="8">
        <f t="shared" ref="O48:P48" si="81">O17/K17-1</f>
        <v>-0.16666666666666663</v>
      </c>
      <c r="P48" s="8">
        <f t="shared" si="81"/>
        <v>0.11111111111111116</v>
      </c>
      <c r="Q48" s="8">
        <f t="shared" si="64"/>
        <v>-3</v>
      </c>
      <c r="R48" s="8">
        <f t="shared" si="65"/>
        <v>15</v>
      </c>
      <c r="S48" s="8">
        <f t="shared" si="66"/>
        <v>0.35000000000000009</v>
      </c>
      <c r="T48" s="8">
        <f t="shared" si="67"/>
        <v>0.35000000000000009</v>
      </c>
      <c r="U48" s="8">
        <f t="shared" si="68"/>
        <v>0.35000000000000009</v>
      </c>
      <c r="V48" s="8">
        <f t="shared" si="69"/>
        <v>0.5</v>
      </c>
      <c r="AA48" s="8">
        <f t="shared" ref="AA48:AC48" si="82">AA17/Z17-1</f>
        <v>7</v>
      </c>
      <c r="AB48" s="8">
        <f t="shared" si="82"/>
        <v>0.16666666666666674</v>
      </c>
      <c r="AC48" s="8">
        <f t="shared" si="82"/>
        <v>-0.3571428571428571</v>
      </c>
      <c r="AD48" s="8">
        <f t="shared" ref="AD48:AO48" si="83">AD17/AC17-1</f>
        <v>4.5</v>
      </c>
      <c r="AE48" s="8">
        <f t="shared" si="83"/>
        <v>0.47121212121212119</v>
      </c>
      <c r="AF48" s="8">
        <f t="shared" si="83"/>
        <v>0.39999999999999991</v>
      </c>
      <c r="AG48" s="8">
        <f t="shared" si="83"/>
        <v>0.30000000000000004</v>
      </c>
      <c r="AH48" s="8">
        <f t="shared" si="83"/>
        <v>0.19999999999999996</v>
      </c>
      <c r="AI48" s="8">
        <f t="shared" si="83"/>
        <v>0.10000000000000009</v>
      </c>
      <c r="AJ48" s="8">
        <f t="shared" si="83"/>
        <v>5.0000000000000044E-2</v>
      </c>
      <c r="AK48" s="8">
        <f t="shared" si="83"/>
        <v>5.0000000000000044E-2</v>
      </c>
      <c r="AL48" s="8">
        <f t="shared" si="83"/>
        <v>5.0000000000000044E-2</v>
      </c>
      <c r="AM48" s="8">
        <f t="shared" si="83"/>
        <v>5.0000000000000044E-2</v>
      </c>
      <c r="AN48" s="8">
        <f t="shared" si="83"/>
        <v>5.0000000000000044E-2</v>
      </c>
      <c r="AO48" s="8">
        <f t="shared" si="83"/>
        <v>5.0000000000000044E-2</v>
      </c>
      <c r="AR48" t="s">
        <v>61</v>
      </c>
      <c r="AS48" s="3">
        <f>Main!D8</f>
        <v>-893</v>
      </c>
    </row>
    <row r="49" spans="2:45" s="1" customFormat="1" x14ac:dyDescent="0.3">
      <c r="B49" s="1" t="s">
        <v>37</v>
      </c>
      <c r="G49" s="7">
        <f t="shared" si="56"/>
        <v>-1.577287066246047E-3</v>
      </c>
      <c r="H49" s="7">
        <f t="shared" si="57"/>
        <v>6.990881458966558E-2</v>
      </c>
      <c r="I49" s="7"/>
      <c r="J49" s="7"/>
      <c r="K49" s="7">
        <f t="shared" si="58"/>
        <v>7.6619273301737678E-2</v>
      </c>
      <c r="L49" s="7">
        <f t="shared" si="59"/>
        <v>6.3210227272727293E-2</v>
      </c>
      <c r="M49" s="7">
        <f t="shared" si="60"/>
        <v>0.24240282685512371</v>
      </c>
      <c r="N49" s="7">
        <f t="shared" si="61"/>
        <v>0.1016803102111159</v>
      </c>
      <c r="O49" s="7">
        <f>O18/K18-1</f>
        <v>0.16067498165810701</v>
      </c>
      <c r="P49" s="7">
        <f>P18/L18-1</f>
        <v>0.49298597194388782</v>
      </c>
      <c r="Q49" s="7">
        <f t="shared" si="64"/>
        <v>0.39533560864618877</v>
      </c>
      <c r="R49" s="7">
        <f t="shared" si="65"/>
        <v>0.36136096988658584</v>
      </c>
      <c r="S49" s="7">
        <f t="shared" si="66"/>
        <v>0.25736409608091027</v>
      </c>
      <c r="T49" s="7">
        <f t="shared" si="67"/>
        <v>0.21630425055928404</v>
      </c>
      <c r="U49" s="7">
        <f t="shared" si="68"/>
        <v>0.3039135752140234</v>
      </c>
      <c r="V49" s="7">
        <f t="shared" si="69"/>
        <v>0.22908646940534316</v>
      </c>
      <c r="Z49" s="7"/>
      <c r="AA49" s="7">
        <f>AA18/Z18-1</f>
        <v>4.6993524514338469E-2</v>
      </c>
      <c r="AB49" s="7">
        <f t="shared" ref="AB49:AO49" si="84">AB18/AA18-1</f>
        <v>0.1327089591800672</v>
      </c>
      <c r="AC49" s="7">
        <f t="shared" si="84"/>
        <v>0.11934477379095165</v>
      </c>
      <c r="AD49" s="7">
        <f t="shared" si="84"/>
        <v>0.35902439024390254</v>
      </c>
      <c r="AE49" s="7">
        <f t="shared" si="84"/>
        <v>0.24956824941031708</v>
      </c>
      <c r="AF49" s="7">
        <f t="shared" si="84"/>
        <v>0.14441574322871431</v>
      </c>
      <c r="AG49" s="7">
        <f t="shared" si="84"/>
        <v>7.9138534247487069E-2</v>
      </c>
      <c r="AH49" s="7">
        <f t="shared" si="84"/>
        <v>4.7424709732172055E-2</v>
      </c>
      <c r="AI49" s="7">
        <f t="shared" si="84"/>
        <v>3.0277929975626172E-2</v>
      </c>
      <c r="AJ49" s="7">
        <f t="shared" si="84"/>
        <v>2.0807220867775644E-2</v>
      </c>
      <c r="AK49" s="7">
        <f t="shared" si="84"/>
        <v>2.0851314161579149E-2</v>
      </c>
      <c r="AL49" s="7">
        <f t="shared" si="84"/>
        <v>2.0895872269871552E-2</v>
      </c>
      <c r="AM49" s="7">
        <f t="shared" si="84"/>
        <v>2.0940906525170666E-2</v>
      </c>
      <c r="AN49" s="7">
        <f t="shared" si="84"/>
        <v>2.0986428459407236E-2</v>
      </c>
      <c r="AO49" s="7">
        <f t="shared" si="84"/>
        <v>2.1032449804873954E-2</v>
      </c>
      <c r="AR49" t="s">
        <v>62</v>
      </c>
      <c r="AS49" s="3">
        <f>AS47+AS48</f>
        <v>23235.998815699284</v>
      </c>
    </row>
    <row r="50" spans="2:45" s="1" customFormat="1" x14ac:dyDescent="0.3">
      <c r="B50" t="s">
        <v>71</v>
      </c>
      <c r="C50"/>
      <c r="D50"/>
      <c r="E50"/>
      <c r="F50"/>
      <c r="G50" s="8">
        <f>(G18+G19)/(C18+C19)-1</f>
        <v>-4.9873203719357551E-2</v>
      </c>
      <c r="H50" s="8">
        <f>(H18+H19)/(D18+D19)-1</f>
        <v>2.7195027195027199E-2</v>
      </c>
      <c r="I50" s="8"/>
      <c r="J50" s="8"/>
      <c r="K50" s="8">
        <f t="shared" ref="K50:R50" si="85">(K18+K19)/(G18+G19)-1</f>
        <v>-8.2740213523131656E-2</v>
      </c>
      <c r="L50" s="8">
        <f t="shared" si="85"/>
        <v>-2.874432677760963E-2</v>
      </c>
      <c r="M50" s="8">
        <f t="shared" si="85"/>
        <v>0.24119028974158185</v>
      </c>
      <c r="N50" s="8">
        <f t="shared" si="85"/>
        <v>1.7758484609313285E-2</v>
      </c>
      <c r="O50" s="8">
        <f t="shared" si="85"/>
        <v>0.11542192046556732</v>
      </c>
      <c r="P50" s="8">
        <f t="shared" si="85"/>
        <v>0.7398753894080996</v>
      </c>
      <c r="Q50" s="8">
        <f t="shared" si="85"/>
        <v>0.62965299684542586</v>
      </c>
      <c r="R50" s="8">
        <f t="shared" si="85"/>
        <v>0.40248158200853035</v>
      </c>
      <c r="S50" s="8">
        <f t="shared" ref="S50" si="86">(S18+S19)/(O18+O19)-1</f>
        <v>0.72969565217391308</v>
      </c>
      <c r="T50" s="8">
        <f t="shared" ref="T50" si="87">(T18+T19)/(P18+P19)-1</f>
        <v>0.2168487018800358</v>
      </c>
      <c r="U50" s="8">
        <f t="shared" ref="U50" si="88">(U18+U19)/(Q18+Q19)-1</f>
        <v>0.23828881145954295</v>
      </c>
      <c r="V50" s="8">
        <f t="shared" ref="V50" si="89">(V18+V19)/(R18+R19)-1</f>
        <v>0.18287254630909588</v>
      </c>
      <c r="Z50" s="7"/>
      <c r="AA50" s="8">
        <f>(AA18+AA19)/(Z18+Z19)-1</f>
        <v>5.3011590347710413E-2</v>
      </c>
      <c r="AB50" s="8">
        <f t="shared" ref="AB50:AO50" si="90">(AB18+AB19)/(AA18+AA19)-1</f>
        <v>0.12901479610249011</v>
      </c>
      <c r="AC50" s="8">
        <f t="shared" si="90"/>
        <v>3.548026210644073E-2</v>
      </c>
      <c r="AD50" s="8">
        <f t="shared" si="90"/>
        <v>0.47924062355301733</v>
      </c>
      <c r="AE50" s="8">
        <f t="shared" si="90"/>
        <v>0.27134181969949922</v>
      </c>
      <c r="AF50" s="8">
        <f t="shared" si="90"/>
        <v>0.14441574322871431</v>
      </c>
      <c r="AG50" s="8">
        <f t="shared" si="90"/>
        <v>7.9138534247487069E-2</v>
      </c>
      <c r="AH50" s="8">
        <f t="shared" si="90"/>
        <v>4.7424709732172055E-2</v>
      </c>
      <c r="AI50" s="8">
        <f t="shared" si="90"/>
        <v>3.0277929975626172E-2</v>
      </c>
      <c r="AJ50" s="8">
        <f t="shared" si="90"/>
        <v>2.0807220867775644E-2</v>
      </c>
      <c r="AK50" s="8">
        <f t="shared" si="90"/>
        <v>2.0851314161579149E-2</v>
      </c>
      <c r="AL50" s="8">
        <f t="shared" si="90"/>
        <v>2.0895872269871552E-2</v>
      </c>
      <c r="AM50" s="8">
        <f t="shared" si="90"/>
        <v>2.0940906525170666E-2</v>
      </c>
      <c r="AN50" s="8">
        <f t="shared" si="90"/>
        <v>2.0986428459407236E-2</v>
      </c>
      <c r="AO50" s="8">
        <f t="shared" si="90"/>
        <v>2.1032449804873954E-2</v>
      </c>
      <c r="AR50" t="s">
        <v>63</v>
      </c>
      <c r="AS50" s="2">
        <f>AS49/AO38</f>
        <v>535.021847011266</v>
      </c>
    </row>
    <row r="51" spans="2:45" x14ac:dyDescent="0.3">
      <c r="B51" t="s">
        <v>38</v>
      </c>
      <c r="C51" s="8">
        <f>C23/C18</f>
        <v>0.21608832807570977</v>
      </c>
      <c r="D51" s="8">
        <f>D23/D18</f>
        <v>0.21808510638297873</v>
      </c>
      <c r="E51" s="8"/>
      <c r="F51" s="8"/>
      <c r="G51" s="8">
        <f t="shared" ref="G51:P51" si="91">G23/G18</f>
        <v>0.2109004739336493</v>
      </c>
      <c r="H51" s="8">
        <f t="shared" si="91"/>
        <v>0.22443181818181818</v>
      </c>
      <c r="I51" s="8">
        <f t="shared" si="91"/>
        <v>0.22332155477031801</v>
      </c>
      <c r="J51" s="8">
        <f t="shared" si="91"/>
        <v>0.27789745799224475</v>
      </c>
      <c r="K51" s="8">
        <f t="shared" si="91"/>
        <v>0.22157006603081439</v>
      </c>
      <c r="L51" s="8">
        <f t="shared" si="91"/>
        <v>0.22845691382765532</v>
      </c>
      <c r="M51" s="8">
        <f t="shared" si="91"/>
        <v>0.24402730375426621</v>
      </c>
      <c r="N51" s="8">
        <f t="shared" si="91"/>
        <v>0.31912397340633553</v>
      </c>
      <c r="O51" s="8">
        <f t="shared" si="91"/>
        <v>0.24905183312262957</v>
      </c>
      <c r="P51" s="8">
        <f t="shared" si="91"/>
        <v>0.25548098434004474</v>
      </c>
      <c r="Q51" s="8">
        <f t="shared" ref="Q51:R51" si="92">Q23/Q18</f>
        <v>0.23685283326538931</v>
      </c>
      <c r="R51" s="8">
        <f t="shared" si="92"/>
        <v>0.3274920999712726</v>
      </c>
      <c r="S51" s="8">
        <f t="shared" ref="S51:V51" si="93">S23/S18</f>
        <v>0.25</v>
      </c>
      <c r="T51" s="8">
        <f t="shared" si="93"/>
        <v>0.25</v>
      </c>
      <c r="U51" s="8">
        <f t="shared" si="93"/>
        <v>0.26</v>
      </c>
      <c r="V51" s="8">
        <f t="shared" si="93"/>
        <v>0.34</v>
      </c>
      <c r="Z51" s="8">
        <f>Z23/Z18</f>
        <v>0.22534690101757632</v>
      </c>
      <c r="AA51" s="8">
        <f>AA23/AA18</f>
        <v>0.24527301643399893</v>
      </c>
      <c r="AB51" s="8">
        <f t="shared" ref="AB51:AO51" si="94">AB23/AB18</f>
        <v>0.24087363494539782</v>
      </c>
      <c r="AC51" s="8">
        <f t="shared" si="94"/>
        <v>0.26327526132404183</v>
      </c>
      <c r="AD51" s="8">
        <f t="shared" si="94"/>
        <v>0.27545892728950877</v>
      </c>
      <c r="AE51" s="8">
        <f t="shared" si="94"/>
        <v>0.28422743082627672</v>
      </c>
      <c r="AF51" s="8">
        <f t="shared" si="94"/>
        <v>0.25000000000000006</v>
      </c>
      <c r="AG51" s="8">
        <f t="shared" si="94"/>
        <v>0.24999999999999997</v>
      </c>
      <c r="AH51" s="8">
        <f t="shared" si="94"/>
        <v>0.24999999999999997</v>
      </c>
      <c r="AI51" s="8">
        <f t="shared" si="94"/>
        <v>0.24999999999999994</v>
      </c>
      <c r="AJ51" s="8">
        <f t="shared" si="94"/>
        <v>0.25</v>
      </c>
      <c r="AK51" s="8">
        <f t="shared" si="94"/>
        <v>0.25</v>
      </c>
      <c r="AL51" s="8">
        <f t="shared" si="94"/>
        <v>0.25</v>
      </c>
      <c r="AM51" s="8">
        <f t="shared" si="94"/>
        <v>0.24999999999999994</v>
      </c>
      <c r="AN51" s="8">
        <f t="shared" si="94"/>
        <v>0.25</v>
      </c>
      <c r="AO51" s="8">
        <f t="shared" si="94"/>
        <v>0.25000000000000006</v>
      </c>
      <c r="AR51" t="s">
        <v>64</v>
      </c>
      <c r="AS51" s="2">
        <f>Main!D3</f>
        <v>1417</v>
      </c>
    </row>
    <row r="52" spans="2:45" x14ac:dyDescent="0.3">
      <c r="B52" t="s">
        <v>47</v>
      </c>
      <c r="C52" s="8">
        <f>C20/C18</f>
        <v>0.52444794952681384</v>
      </c>
      <c r="D52" s="8">
        <f>D20/D18</f>
        <v>0.48252279635258361</v>
      </c>
      <c r="E52" s="8"/>
      <c r="F52" s="8"/>
      <c r="G52" s="8">
        <f t="shared" ref="G52:N52" si="95">G20/G18</f>
        <v>0.54028436018957349</v>
      </c>
      <c r="H52" s="8">
        <f t="shared" si="95"/>
        <v>0.50710227272727271</v>
      </c>
      <c r="I52" s="8">
        <f t="shared" si="95"/>
        <v>0.56325088339222618</v>
      </c>
      <c r="J52" s="8">
        <f t="shared" si="95"/>
        <v>0.42567858681602755</v>
      </c>
      <c r="K52" s="8">
        <f t="shared" si="95"/>
        <v>0.65517241379310343</v>
      </c>
      <c r="L52" s="8">
        <f t="shared" si="95"/>
        <v>0.57515030060120242</v>
      </c>
      <c r="M52" s="8">
        <f t="shared" si="95"/>
        <v>0.57281001137656429</v>
      </c>
      <c r="N52" s="8">
        <f t="shared" si="95"/>
        <v>0.45913179507235041</v>
      </c>
      <c r="O52" s="8">
        <f t="shared" ref="O52:P52" si="96">O20/O18</f>
        <v>0.65676359039190901</v>
      </c>
      <c r="P52" s="8">
        <f t="shared" si="96"/>
        <v>0.48635346756152126</v>
      </c>
      <c r="Q52" s="8">
        <f t="shared" ref="Q52:R52" si="97">Q20/Q18</f>
        <v>0.47696697920913167</v>
      </c>
      <c r="R52" s="8">
        <f t="shared" si="97"/>
        <v>0.44900890548692907</v>
      </c>
      <c r="S52" s="8">
        <f t="shared" ref="S52:V52" si="98">S20/S18</f>
        <v>0</v>
      </c>
      <c r="T52" s="8">
        <f t="shared" si="98"/>
        <v>0</v>
      </c>
      <c r="U52" s="8">
        <f t="shared" si="98"/>
        <v>0</v>
      </c>
      <c r="V52" s="8">
        <f t="shared" si="98"/>
        <v>0</v>
      </c>
      <c r="Z52" s="8">
        <f t="shared" ref="Z52:AO52" si="99">Z20/Z18</f>
        <v>0.51655874190564288</v>
      </c>
      <c r="AA52" s="8">
        <f t="shared" si="99"/>
        <v>0.48506803322141723</v>
      </c>
      <c r="AB52" s="8">
        <f t="shared" si="99"/>
        <v>0.49656786271450859</v>
      </c>
      <c r="AC52" s="8">
        <f t="shared" si="99"/>
        <v>0.5484320557491289</v>
      </c>
      <c r="AD52" s="8">
        <f t="shared" si="99"/>
        <v>0.49830786585991182</v>
      </c>
      <c r="AE52" s="8">
        <f t="shared" si="99"/>
        <v>0</v>
      </c>
      <c r="AF52" s="8">
        <f t="shared" si="99"/>
        <v>0.5</v>
      </c>
      <c r="AG52" s="8">
        <f t="shared" si="99"/>
        <v>0.5</v>
      </c>
      <c r="AH52" s="8">
        <f t="shared" si="99"/>
        <v>0.5</v>
      </c>
      <c r="AI52" s="8">
        <f t="shared" si="99"/>
        <v>0.5</v>
      </c>
      <c r="AJ52" s="8">
        <f t="shared" si="99"/>
        <v>0.5</v>
      </c>
      <c r="AK52" s="8">
        <f t="shared" si="99"/>
        <v>0.5</v>
      </c>
      <c r="AL52" s="8">
        <f t="shared" si="99"/>
        <v>0.5</v>
      </c>
      <c r="AM52" s="8">
        <f t="shared" si="99"/>
        <v>0.5</v>
      </c>
      <c r="AN52" s="8">
        <f t="shared" si="99"/>
        <v>0.5</v>
      </c>
      <c r="AO52" s="8">
        <f t="shared" si="99"/>
        <v>0.5</v>
      </c>
      <c r="AR52" s="1" t="s">
        <v>65</v>
      </c>
      <c r="AS52" s="7">
        <f>AS50/AS51-1</f>
        <v>-0.62242636061307977</v>
      </c>
    </row>
    <row r="53" spans="2:45" x14ac:dyDescent="0.3">
      <c r="B53" t="s">
        <v>48</v>
      </c>
      <c r="C53" s="8">
        <f>C21/C18</f>
        <v>0.32649842271293378</v>
      </c>
      <c r="D53" s="8">
        <f>D21/D18</f>
        <v>0.32142857142857145</v>
      </c>
      <c r="E53" s="8"/>
      <c r="F53" s="8"/>
      <c r="G53" s="8">
        <f t="shared" ref="G53:N53" si="100">G21/G18</f>
        <v>0.3609794628751975</v>
      </c>
      <c r="H53" s="8">
        <f t="shared" si="100"/>
        <v>0.32954545454545453</v>
      </c>
      <c r="I53" s="8">
        <f t="shared" si="100"/>
        <v>0.31095406360424027</v>
      </c>
      <c r="J53" s="8">
        <f t="shared" si="100"/>
        <v>0.20465316673847481</v>
      </c>
      <c r="K53" s="8">
        <f t="shared" si="100"/>
        <v>0.36683785766691124</v>
      </c>
      <c r="L53" s="8">
        <f t="shared" si="100"/>
        <v>0.33867735470941884</v>
      </c>
      <c r="M53" s="8">
        <f t="shared" si="100"/>
        <v>0.28156996587030719</v>
      </c>
      <c r="N53" s="8">
        <f t="shared" si="100"/>
        <v>0.21314039890496675</v>
      </c>
      <c r="O53" s="8">
        <f t="shared" ref="O53:P53" si="101">O21/O18</f>
        <v>0.36725663716814161</v>
      </c>
      <c r="P53" s="8">
        <f t="shared" si="101"/>
        <v>0.25861297539149886</v>
      </c>
      <c r="Q53" s="8">
        <f t="shared" ref="Q53:R53" si="102">Q21/Q18</f>
        <v>0.23318385650224216</v>
      </c>
      <c r="R53" s="8">
        <f t="shared" si="102"/>
        <v>0.18442976156276933</v>
      </c>
      <c r="S53" s="8">
        <f t="shared" ref="S53:V53" si="103">S21/S18</f>
        <v>0</v>
      </c>
      <c r="T53" s="8">
        <f t="shared" si="103"/>
        <v>0</v>
      </c>
      <c r="U53" s="8">
        <f t="shared" si="103"/>
        <v>0</v>
      </c>
      <c r="V53" s="8">
        <f t="shared" si="103"/>
        <v>0</v>
      </c>
      <c r="Z53" s="8">
        <f t="shared" ref="Z53:AO53" si="104">Z21/Z18</f>
        <v>0.28436632747456059</v>
      </c>
      <c r="AA53" s="8">
        <f t="shared" si="104"/>
        <v>0.29033398126877541</v>
      </c>
      <c r="AB53" s="8">
        <f t="shared" si="104"/>
        <v>0.28642745709828393</v>
      </c>
      <c r="AC53" s="8">
        <f t="shared" si="104"/>
        <v>0.28529616724738677</v>
      </c>
      <c r="AD53" s="8">
        <f t="shared" si="104"/>
        <v>0.24335965541995694</v>
      </c>
      <c r="AE53" s="8">
        <f t="shared" si="104"/>
        <v>0</v>
      </c>
      <c r="AF53" s="8">
        <f t="shared" si="104"/>
        <v>0.25</v>
      </c>
      <c r="AG53" s="8">
        <f t="shared" si="104"/>
        <v>0.25</v>
      </c>
      <c r="AH53" s="8">
        <f t="shared" si="104"/>
        <v>0.25</v>
      </c>
      <c r="AI53" s="8">
        <f t="shared" si="104"/>
        <v>0.25</v>
      </c>
      <c r="AJ53" s="8">
        <f t="shared" si="104"/>
        <v>0.25</v>
      </c>
      <c r="AK53" s="8">
        <f t="shared" si="104"/>
        <v>0.25</v>
      </c>
      <c r="AL53" s="8">
        <f t="shared" si="104"/>
        <v>0.25</v>
      </c>
      <c r="AM53" s="8">
        <f t="shared" si="104"/>
        <v>0.25</v>
      </c>
      <c r="AN53" s="8">
        <f t="shared" si="104"/>
        <v>0.25</v>
      </c>
      <c r="AO53" s="8">
        <f t="shared" si="104"/>
        <v>0.25</v>
      </c>
      <c r="AR53" t="s">
        <v>66</v>
      </c>
      <c r="AS53" s="4" t="s">
        <v>72</v>
      </c>
    </row>
    <row r="54" spans="2:45" x14ac:dyDescent="0.3">
      <c r="B54" t="s">
        <v>91</v>
      </c>
      <c r="C54" s="8"/>
      <c r="D54" s="8"/>
      <c r="E54" s="8"/>
      <c r="F54" s="8"/>
      <c r="G54" s="8">
        <f t="shared" ref="G54:V54" si="105">G25/C25-1</f>
        <v>0.38095238095238093</v>
      </c>
      <c r="H54" s="8">
        <f t="shared" si="105"/>
        <v>0.30000000000000004</v>
      </c>
      <c r="I54" s="8" t="e">
        <f t="shared" si="105"/>
        <v>#DIV/0!</v>
      </c>
      <c r="J54" s="8" t="e">
        <f t="shared" si="105"/>
        <v>#DIV/0!</v>
      </c>
      <c r="K54" s="8">
        <f t="shared" si="105"/>
        <v>0.10344827586206895</v>
      </c>
      <c r="L54" s="8">
        <f t="shared" si="105"/>
        <v>-0.4358974358974359</v>
      </c>
      <c r="M54" s="8">
        <f t="shared" si="105"/>
        <v>-0.22641509433962259</v>
      </c>
      <c r="N54" s="8">
        <f t="shared" si="105"/>
        <v>-0.42000000000000004</v>
      </c>
      <c r="O54" s="8">
        <f t="shared" si="105"/>
        <v>0.3125</v>
      </c>
      <c r="P54" s="8">
        <f t="shared" si="105"/>
        <v>0.77272727272727271</v>
      </c>
      <c r="Q54" s="8">
        <f t="shared" si="105"/>
        <v>0.24390243902439024</v>
      </c>
      <c r="R54" s="8">
        <f t="shared" si="105"/>
        <v>0.65517241379310343</v>
      </c>
      <c r="S54" s="8">
        <f t="shared" si="105"/>
        <v>0.30000000000000004</v>
      </c>
      <c r="T54" s="8">
        <f t="shared" si="105"/>
        <v>0.30000000000000004</v>
      </c>
      <c r="U54" s="8">
        <f t="shared" si="105"/>
        <v>0.30000000000000004</v>
      </c>
      <c r="V54" s="8">
        <f t="shared" si="105"/>
        <v>0.30000000000000004</v>
      </c>
      <c r="Z54" s="8"/>
      <c r="AA54" s="8">
        <f t="shared" ref="AA54:AO54" si="106">AA25/Z25-1</f>
        <v>0.17543859649122817</v>
      </c>
      <c r="AB54" s="8">
        <f t="shared" si="106"/>
        <v>0.64925373134328357</v>
      </c>
      <c r="AC54" s="8">
        <f t="shared" si="106"/>
        <v>-0.30769230769230771</v>
      </c>
      <c r="AD54" s="8">
        <f t="shared" si="106"/>
        <v>0.49019607843137258</v>
      </c>
      <c r="AE54" s="8">
        <f t="shared" si="106"/>
        <v>-1</v>
      </c>
      <c r="AF54" s="8" t="e">
        <f t="shared" si="106"/>
        <v>#DIV/0!</v>
      </c>
      <c r="AG54" s="8" t="e">
        <f t="shared" si="106"/>
        <v>#DIV/0!</v>
      </c>
      <c r="AH54" s="8" t="e">
        <f t="shared" si="106"/>
        <v>#DIV/0!</v>
      </c>
      <c r="AI54" s="8" t="e">
        <f t="shared" si="106"/>
        <v>#DIV/0!</v>
      </c>
      <c r="AJ54" s="8" t="e">
        <f t="shared" si="106"/>
        <v>#DIV/0!</v>
      </c>
      <c r="AK54" s="8" t="e">
        <f t="shared" si="106"/>
        <v>#DIV/0!</v>
      </c>
      <c r="AL54" s="8" t="e">
        <f t="shared" si="106"/>
        <v>#DIV/0!</v>
      </c>
      <c r="AM54" s="8" t="e">
        <f t="shared" si="106"/>
        <v>#DIV/0!</v>
      </c>
      <c r="AN54" s="8" t="e">
        <f t="shared" si="106"/>
        <v>#DIV/0!</v>
      </c>
      <c r="AO54" s="8" t="e">
        <f t="shared" si="106"/>
        <v>#DIV/0!</v>
      </c>
      <c r="AS54" s="4"/>
    </row>
    <row r="55" spans="2:45" x14ac:dyDescent="0.3">
      <c r="B55" t="s">
        <v>46</v>
      </c>
      <c r="C55" s="8"/>
      <c r="D55" s="8"/>
      <c r="E55" s="8"/>
      <c r="F55" s="8"/>
      <c r="G55" s="8">
        <f>G26/C26-1</f>
        <v>2.6845637583892579E-2</v>
      </c>
      <c r="H55" s="8">
        <f>H26/D26-1</f>
        <v>7.7922077922077948E-2</v>
      </c>
      <c r="I55" s="8"/>
      <c r="J55" s="8"/>
      <c r="K55" s="8">
        <f t="shared" ref="K55:P55" si="107">K26/G26-1</f>
        <v>0.18954248366013071</v>
      </c>
      <c r="L55" s="8">
        <f t="shared" si="107"/>
        <v>0.10240963855421681</v>
      </c>
      <c r="M55" s="8">
        <f t="shared" si="107"/>
        <v>0.12886597938144329</v>
      </c>
      <c r="N55" s="8">
        <f t="shared" si="107"/>
        <v>0.19607843137254899</v>
      </c>
      <c r="O55" s="8">
        <f t="shared" si="107"/>
        <v>0.25274725274725274</v>
      </c>
      <c r="P55" s="8">
        <f t="shared" si="107"/>
        <v>0.51366120218579225</v>
      </c>
      <c r="Q55" s="8">
        <f t="shared" ref="Q55:R55" si="108">Q26/M26-1</f>
        <v>0.12785388127853881</v>
      </c>
      <c r="R55" s="8">
        <f t="shared" si="108"/>
        <v>0.20655737704918042</v>
      </c>
      <c r="S55" s="8">
        <f t="shared" ref="S55" si="109">S26/O26-1</f>
        <v>0.19999999999999996</v>
      </c>
      <c r="T55" s="8">
        <f t="shared" ref="T55" si="110">T26/P26-1</f>
        <v>0.19999999999999996</v>
      </c>
      <c r="U55" s="8">
        <f t="shared" ref="U55" si="111">U26/Q26-1</f>
        <v>0.14999999999999991</v>
      </c>
      <c r="V55" s="8">
        <f t="shared" ref="V55" si="112">V26/R26-1</f>
        <v>0.10000000000000009</v>
      </c>
      <c r="Z55" s="8"/>
      <c r="AA55" s="8">
        <f>AA26/Z26-1</f>
        <v>2.1806853582554409E-2</v>
      </c>
      <c r="AB55" s="8">
        <f t="shared" ref="AB55:AO55" si="113">AB26/AA26-1</f>
        <v>0.1707317073170731</v>
      </c>
      <c r="AC55" s="8">
        <f t="shared" si="113"/>
        <v>0.15755208333333326</v>
      </c>
      <c r="AD55" s="8">
        <f t="shared" si="113"/>
        <v>0.25984251968503935</v>
      </c>
      <c r="AE55" s="8">
        <f t="shared" si="113"/>
        <v>-1</v>
      </c>
      <c r="AF55" s="8" t="e">
        <f t="shared" si="113"/>
        <v>#DIV/0!</v>
      </c>
      <c r="AG55" s="8" t="e">
        <f t="shared" si="113"/>
        <v>#DIV/0!</v>
      </c>
      <c r="AH55" s="8" t="e">
        <f t="shared" si="113"/>
        <v>#DIV/0!</v>
      </c>
      <c r="AI55" s="8" t="e">
        <f t="shared" si="113"/>
        <v>#DIV/0!</v>
      </c>
      <c r="AJ55" s="8" t="e">
        <f t="shared" si="113"/>
        <v>#DIV/0!</v>
      </c>
      <c r="AK55" s="8" t="e">
        <f t="shared" si="113"/>
        <v>#DIV/0!</v>
      </c>
      <c r="AL55" s="8" t="e">
        <f t="shared" si="113"/>
        <v>#DIV/0!</v>
      </c>
      <c r="AM55" s="8" t="e">
        <f t="shared" si="113"/>
        <v>#DIV/0!</v>
      </c>
      <c r="AN55" s="8" t="e">
        <f t="shared" si="113"/>
        <v>#DIV/0!</v>
      </c>
      <c r="AO55" s="8" t="e">
        <f t="shared" si="113"/>
        <v>#DIV/0!</v>
      </c>
    </row>
    <row r="56" spans="2:45" x14ac:dyDescent="0.3">
      <c r="B56" t="s">
        <v>39</v>
      </c>
      <c r="C56" s="8">
        <f>C28/C18</f>
        <v>6.9400630914826497E-2</v>
      </c>
      <c r="D56" s="8">
        <f>D28/D18</f>
        <v>7.9787234042553196E-2</v>
      </c>
      <c r="E56" s="8"/>
      <c r="F56" s="8"/>
      <c r="G56" s="8">
        <f t="shared" ref="G56:P56" si="114">G28/G18</f>
        <v>6.5560821484992107E-2</v>
      </c>
      <c r="H56" s="8">
        <f t="shared" si="114"/>
        <v>9.0198863636363633E-2</v>
      </c>
      <c r="I56" s="8">
        <f t="shared" si="114"/>
        <v>7.9151943462897528E-2</v>
      </c>
      <c r="J56" s="8">
        <f t="shared" si="114"/>
        <v>0.18354157690650583</v>
      </c>
      <c r="K56" s="8">
        <f t="shared" si="114"/>
        <v>6.5297138664710194E-2</v>
      </c>
      <c r="L56" s="8">
        <f t="shared" si="114"/>
        <v>7.8824315297261194E-2</v>
      </c>
      <c r="M56" s="8">
        <f t="shared" si="114"/>
        <v>9.7838452787258251E-2</v>
      </c>
      <c r="N56" s="8">
        <f t="shared" si="114"/>
        <v>0.18224481814626514</v>
      </c>
      <c r="O56" s="8">
        <f t="shared" si="114"/>
        <v>7.3957016434892539E-2</v>
      </c>
      <c r="P56" s="8">
        <f t="shared" si="114"/>
        <v>0.10827740492170022</v>
      </c>
      <c r="Q56" s="8">
        <f t="shared" ref="Q56:R56" si="115">Q28/Q18</f>
        <v>0.11822258459029759</v>
      </c>
      <c r="R56" s="8">
        <f t="shared" si="115"/>
        <v>0.21315713875323183</v>
      </c>
      <c r="S56" s="8">
        <f t="shared" ref="S56:V56" si="116">S28/S18</f>
        <v>9.2143629188346815E-2</v>
      </c>
      <c r="T56" s="8">
        <f t="shared" si="116"/>
        <v>0.11142787775341741</v>
      </c>
      <c r="U56" s="8">
        <f t="shared" si="116"/>
        <v>0.16221979052680943</v>
      </c>
      <c r="V56" s="8">
        <f t="shared" si="116"/>
        <v>0.24417090301394198</v>
      </c>
      <c r="Z56" s="8">
        <f>Z28/Z18</f>
        <v>7.5485661424606845E-2</v>
      </c>
      <c r="AA56" s="8">
        <f>AA28/AA18</f>
        <v>0.10867644460151971</v>
      </c>
      <c r="AB56" s="8">
        <f t="shared" ref="AB56:AO56" si="117">AB28/AB18</f>
        <v>0.11669266770670828</v>
      </c>
      <c r="AC56" s="8">
        <f t="shared" si="117"/>
        <v>0.11777003484320557</v>
      </c>
      <c r="AD56" s="8">
        <f t="shared" si="117"/>
        <v>0.14265203568864732</v>
      </c>
      <c r="AE56" s="8">
        <f t="shared" si="117"/>
        <v>0.16822387221840154</v>
      </c>
      <c r="AF56" s="8">
        <f t="shared" si="117"/>
        <v>0.17225268559008933</v>
      </c>
      <c r="AG56" s="8">
        <f t="shared" si="117"/>
        <v>0.17507244953244938</v>
      </c>
      <c r="AH56" s="8">
        <f t="shared" si="117"/>
        <v>0.17631892654001738</v>
      </c>
      <c r="AI56" s="8">
        <f t="shared" si="117"/>
        <v>0.17705396015717792</v>
      </c>
      <c r="AJ56" s="8">
        <f t="shared" si="117"/>
        <v>0.17711164349285485</v>
      </c>
      <c r="AK56" s="8">
        <f t="shared" si="117"/>
        <v>0.17717242696763513</v>
      </c>
      <c r="AL56" s="8">
        <f t="shared" si="117"/>
        <v>0.17723633574122696</v>
      </c>
      <c r="AM56" s="8">
        <f t="shared" si="117"/>
        <v>0.1773033952605966</v>
      </c>
      <c r="AN56" s="8">
        <f t="shared" si="117"/>
        <v>0.17737363125768565</v>
      </c>
      <c r="AO56" s="8">
        <f t="shared" si="117"/>
        <v>0.17744706974659077</v>
      </c>
    </row>
    <row r="57" spans="2:45" x14ac:dyDescent="0.3">
      <c r="B57" t="s">
        <v>20</v>
      </c>
      <c r="C57" s="8">
        <f>C35/C34</f>
        <v>0.27631578947368424</v>
      </c>
      <c r="D57" s="8">
        <f>D35/D34</f>
        <v>0.23300970873786409</v>
      </c>
      <c r="E57" s="8"/>
      <c r="F57" s="8"/>
      <c r="G57" s="8">
        <f t="shared" ref="G57:P57" si="118">G35/G34</f>
        <v>0.20547945205479451</v>
      </c>
      <c r="H57" s="8">
        <f t="shared" si="118"/>
        <v>0.30612244897959184</v>
      </c>
      <c r="I57" s="8">
        <f t="shared" si="118"/>
        <v>0.27027027027027029</v>
      </c>
      <c r="J57" s="8">
        <f t="shared" si="118"/>
        <v>0.24713958810068651</v>
      </c>
      <c r="K57" s="8">
        <f t="shared" si="118"/>
        <v>0.28985507246376813</v>
      </c>
      <c r="L57" s="8">
        <f t="shared" si="118"/>
        <v>0.29807692307692307</v>
      </c>
      <c r="M57" s="8">
        <f t="shared" si="118"/>
        <v>0.24827586206896551</v>
      </c>
      <c r="N57" s="8">
        <f t="shared" si="118"/>
        <v>0.19758064516129031</v>
      </c>
      <c r="O57" s="8">
        <f t="shared" si="118"/>
        <v>0.36046511627906974</v>
      </c>
      <c r="P57" s="8">
        <f t="shared" si="118"/>
        <v>0.26923076923076922</v>
      </c>
      <c r="Q57" s="8">
        <f t="shared" ref="Q57:R57" si="119">Q35/Q34</f>
        <v>0.29959514170040485</v>
      </c>
      <c r="R57" s="8">
        <f t="shared" si="119"/>
        <v>0.25036390101892286</v>
      </c>
      <c r="S57" s="8">
        <f t="shared" ref="S57:V57" si="120">S35/S34</f>
        <v>0.27</v>
      </c>
      <c r="T57" s="8">
        <f t="shared" si="120"/>
        <v>0.27</v>
      </c>
      <c r="U57" s="8">
        <f t="shared" si="120"/>
        <v>0.27</v>
      </c>
      <c r="V57" s="8">
        <f t="shared" si="120"/>
        <v>0.27</v>
      </c>
      <c r="Z57" s="8">
        <f>Z35/Z34</f>
        <v>0.22677595628415301</v>
      </c>
      <c r="AA57" s="8">
        <f>AA35/AA34</f>
        <v>0.25773195876288657</v>
      </c>
      <c r="AB57" s="8">
        <f t="shared" ref="AB57:AO57" si="121">AB35/AB34</f>
        <v>0.25452016689847012</v>
      </c>
      <c r="AC57" s="8">
        <f t="shared" si="121"/>
        <v>0.22727272727272727</v>
      </c>
      <c r="AD57" s="8">
        <f t="shared" si="121"/>
        <v>0.27117263843648209</v>
      </c>
      <c r="AE57" s="8">
        <f t="shared" si="121"/>
        <v>0.26999999999999974</v>
      </c>
      <c r="AF57" s="8">
        <f t="shared" si="121"/>
        <v>0.25</v>
      </c>
      <c r="AG57" s="8">
        <f t="shared" si="121"/>
        <v>0.25</v>
      </c>
      <c r="AH57" s="8">
        <f t="shared" si="121"/>
        <v>0.25</v>
      </c>
      <c r="AI57" s="8">
        <f t="shared" si="121"/>
        <v>0.25</v>
      </c>
      <c r="AJ57" s="8">
        <f t="shared" si="121"/>
        <v>0.25</v>
      </c>
      <c r="AK57" s="8">
        <f t="shared" si="121"/>
        <v>0.25</v>
      </c>
      <c r="AL57" s="8">
        <f t="shared" si="121"/>
        <v>0.25</v>
      </c>
      <c r="AM57" s="8">
        <f t="shared" si="121"/>
        <v>0.25</v>
      </c>
      <c r="AN57" s="8">
        <f t="shared" si="121"/>
        <v>0.25</v>
      </c>
      <c r="AO57" s="8">
        <f t="shared" si="121"/>
        <v>0.25</v>
      </c>
    </row>
    <row r="58" spans="2:45" x14ac:dyDescent="0.3">
      <c r="B58" t="s">
        <v>28</v>
      </c>
      <c r="C58" s="8">
        <f>C36/C34</f>
        <v>6.5789473684210523E-2</v>
      </c>
      <c r="D58" s="8">
        <f>D36/D34</f>
        <v>1.1262135922330097</v>
      </c>
      <c r="E58" s="8"/>
      <c r="F58" s="8"/>
      <c r="G58" s="8">
        <f t="shared" ref="G58:N58" si="122">G36/G34</f>
        <v>0.16438356164383561</v>
      </c>
      <c r="H58" s="8">
        <f t="shared" si="122"/>
        <v>0.11224489795918367</v>
      </c>
      <c r="I58" s="8">
        <f t="shared" si="122"/>
        <v>4.5045045045045043E-2</v>
      </c>
      <c r="J58" s="8">
        <f t="shared" si="122"/>
        <v>7.3226544622425629E-2</v>
      </c>
      <c r="K58" s="8">
        <f t="shared" si="122"/>
        <v>1.4492753623188406E-2</v>
      </c>
      <c r="L58" s="8">
        <f t="shared" si="122"/>
        <v>0.15384615384615385</v>
      </c>
      <c r="M58" s="8">
        <f t="shared" si="122"/>
        <v>4.8275862068965517E-2</v>
      </c>
      <c r="N58" s="8">
        <f t="shared" si="122"/>
        <v>0.14314516129032259</v>
      </c>
      <c r="O58" s="8">
        <f t="shared" ref="O58:P58" si="123">O36/O34</f>
        <v>5.8139534883720929E-2</v>
      </c>
      <c r="P58" s="8">
        <f t="shared" si="123"/>
        <v>0.42788461538461536</v>
      </c>
      <c r="Q58" s="8">
        <f t="shared" ref="Q58:R58" si="124">Q36/Q34</f>
        <v>0.15384615384615385</v>
      </c>
      <c r="R58" s="8">
        <f t="shared" si="124"/>
        <v>6.6957787481804948E-2</v>
      </c>
      <c r="S58" s="8">
        <f t="shared" ref="S58:V58" si="125">S36/S34</f>
        <v>0.1</v>
      </c>
      <c r="T58" s="8">
        <f t="shared" si="125"/>
        <v>0.1</v>
      </c>
      <c r="U58" s="8">
        <f t="shared" si="125"/>
        <v>0.1</v>
      </c>
      <c r="V58" s="8">
        <f t="shared" si="125"/>
        <v>0.1</v>
      </c>
      <c r="Z58" s="8">
        <f t="shared" ref="Z58:AO58" si="126">Z36/Z34</f>
        <v>0.84699453551912574</v>
      </c>
      <c r="AA58" s="8">
        <f t="shared" si="126"/>
        <v>0.2422680412371134</v>
      </c>
      <c r="AB58" s="8">
        <f t="shared" si="126"/>
        <v>8.3449235048678724E-2</v>
      </c>
      <c r="AC58" s="8">
        <f t="shared" si="126"/>
        <v>0.1167076167076167</v>
      </c>
      <c r="AD58" s="8">
        <f t="shared" si="126"/>
        <v>0.14495114006514659</v>
      </c>
      <c r="AE58" s="8">
        <f t="shared" si="126"/>
        <v>9.9999999999999867E-2</v>
      </c>
      <c r="AF58" s="8">
        <f t="shared" si="126"/>
        <v>0.1</v>
      </c>
      <c r="AG58" s="8">
        <f t="shared" si="126"/>
        <v>0.1</v>
      </c>
      <c r="AH58" s="8">
        <f t="shared" si="126"/>
        <v>0.1</v>
      </c>
      <c r="AI58" s="8">
        <f t="shared" si="126"/>
        <v>0.10000000000000002</v>
      </c>
      <c r="AJ58" s="8">
        <f t="shared" si="126"/>
        <v>0.1</v>
      </c>
      <c r="AK58" s="8">
        <f t="shared" si="126"/>
        <v>9.9999999999999992E-2</v>
      </c>
      <c r="AL58" s="8">
        <f t="shared" si="126"/>
        <v>0.1</v>
      </c>
      <c r="AM58" s="8">
        <f t="shared" si="126"/>
        <v>0.1</v>
      </c>
      <c r="AN58" s="8">
        <f t="shared" si="126"/>
        <v>9.9999999999999992E-2</v>
      </c>
      <c r="AO58" s="8">
        <f t="shared" si="126"/>
        <v>0.1</v>
      </c>
    </row>
    <row r="59" spans="2:45" x14ac:dyDescent="0.3">
      <c r="B59" t="s">
        <v>40</v>
      </c>
      <c r="C59" s="8">
        <f>C37/C23</f>
        <v>0.18248175182481752</v>
      </c>
      <c r="D59" s="8">
        <f>D37/D23</f>
        <v>-0.1289198606271777</v>
      </c>
      <c r="E59" s="8"/>
      <c r="F59" s="8"/>
      <c r="G59" s="8">
        <f t="shared" ref="G59:P59" si="127">G37/G23</f>
        <v>0.17228464419475656</v>
      </c>
      <c r="H59" s="8">
        <f t="shared" si="127"/>
        <v>0.18037974683544303</v>
      </c>
      <c r="I59" s="8">
        <f t="shared" si="127"/>
        <v>0.24050632911392406</v>
      </c>
      <c r="J59" s="8">
        <f t="shared" si="127"/>
        <v>0.46046511627906977</v>
      </c>
      <c r="K59" s="8">
        <f t="shared" si="127"/>
        <v>0.15894039735099338</v>
      </c>
      <c r="L59" s="8">
        <f t="shared" si="127"/>
        <v>0.16666666666666666</v>
      </c>
      <c r="M59" s="8">
        <f t="shared" si="127"/>
        <v>0.23776223776223776</v>
      </c>
      <c r="N59" s="8">
        <f t="shared" si="127"/>
        <v>0.40073529411764708</v>
      </c>
      <c r="O59" s="8">
        <f t="shared" si="127"/>
        <v>0.12690355329949238</v>
      </c>
      <c r="P59" s="8">
        <f t="shared" si="127"/>
        <v>0.11033274956217162</v>
      </c>
      <c r="Q59" s="8">
        <f t="shared" ref="Q59:R59" si="128">Q37/Q23</f>
        <v>0.23235800344234078</v>
      </c>
      <c r="R59" s="8">
        <f t="shared" si="128"/>
        <v>0.41140350877192983</v>
      </c>
      <c r="S59" s="8">
        <f t="shared" ref="S59:V59" si="129">S37/S23</f>
        <v>0.19096523640751081</v>
      </c>
      <c r="T59" s="8">
        <f t="shared" si="129"/>
        <v>0.2477042715675167</v>
      </c>
      <c r="U59" s="8">
        <f t="shared" si="129"/>
        <v>0.35886689674246336</v>
      </c>
      <c r="V59" s="8">
        <f t="shared" si="129"/>
        <v>0.42742354467292648</v>
      </c>
      <c r="Z59" s="8">
        <f>Z37/Z23</f>
        <v>-2.2167487684729065E-2</v>
      </c>
      <c r="AA59" s="8">
        <f>AA37/AA23</f>
        <v>0.20965417867435157</v>
      </c>
      <c r="AB59" s="8">
        <f t="shared" ref="AB59:AO59" si="130">AB37/AB23</f>
        <v>0.30829015544041449</v>
      </c>
      <c r="AC59" s="8">
        <f t="shared" si="130"/>
        <v>0.2826892535733192</v>
      </c>
      <c r="AD59" s="8">
        <f t="shared" si="130"/>
        <v>0.26693968726731199</v>
      </c>
      <c r="AE59" s="8">
        <f t="shared" si="130"/>
        <v>0.34173954115299549</v>
      </c>
      <c r="AF59" s="8">
        <f t="shared" si="130"/>
        <v>0.414987375305857</v>
      </c>
      <c r="AG59" s="8">
        <f t="shared" si="130"/>
        <v>0.42381547793598917</v>
      </c>
      <c r="AH59" s="8">
        <f t="shared" si="130"/>
        <v>0.42757823014744234</v>
      </c>
      <c r="AI59" s="8">
        <f t="shared" si="130"/>
        <v>0.42949763997803064</v>
      </c>
      <c r="AJ59" s="8">
        <f t="shared" si="130"/>
        <v>0.42936986613862543</v>
      </c>
      <c r="AK59" s="8">
        <f t="shared" si="130"/>
        <v>0.42924900768422652</v>
      </c>
      <c r="AL59" s="8">
        <f t="shared" si="130"/>
        <v>0.42913515833395388</v>
      </c>
      <c r="AM59" s="8">
        <f t="shared" si="130"/>
        <v>0.42902841368837119</v>
      </c>
      <c r="AN59" s="8">
        <f t="shared" si="130"/>
        <v>0.42892887125019491</v>
      </c>
      <c r="AO59" s="8">
        <f t="shared" si="130"/>
        <v>0.42883663044386711</v>
      </c>
    </row>
    <row r="61" spans="2:45" x14ac:dyDescent="0.3">
      <c r="B61" t="s">
        <v>92</v>
      </c>
      <c r="Y61" s="3"/>
      <c r="Z61" s="3">
        <f t="shared" ref="Z61:AC61" si="131">Z37</f>
        <v>-27</v>
      </c>
      <c r="AA61" s="3">
        <f t="shared" si="131"/>
        <v>291</v>
      </c>
      <c r="AB61" s="3">
        <f t="shared" si="131"/>
        <v>476</v>
      </c>
      <c r="AC61" s="3">
        <f t="shared" si="131"/>
        <v>534</v>
      </c>
      <c r="AD61" s="3">
        <f>AD37</f>
        <v>717</v>
      </c>
      <c r="AE61" s="3">
        <f t="shared" ref="AE61:AO61" si="132">AE37</f>
        <v>1183.5057150000023</v>
      </c>
      <c r="AF61" s="3">
        <f t="shared" si="132"/>
        <v>1446.6646025</v>
      </c>
      <c r="AG61" s="3">
        <f t="shared" si="132"/>
        <v>1594.3621815874999</v>
      </c>
      <c r="AH61" s="3">
        <f t="shared" si="132"/>
        <v>1684.8008440233743</v>
      </c>
      <c r="AI61" s="3">
        <f t="shared" si="132"/>
        <v>1743.6052364113334</v>
      </c>
      <c r="AJ61" s="3">
        <f t="shared" si="132"/>
        <v>1779.3553070190528</v>
      </c>
      <c r="AK61" s="3">
        <f t="shared" si="132"/>
        <v>1815.945909591886</v>
      </c>
      <c r="AL61" s="3">
        <f t="shared" si="132"/>
        <v>1853.3999772487739</v>
      </c>
      <c r="AM61" s="3">
        <f t="shared" si="132"/>
        <v>1891.7411772434202</v>
      </c>
      <c r="AN61" s="3">
        <f t="shared" si="132"/>
        <v>1930.9939382407565</v>
      </c>
      <c r="AO61" s="3">
        <f t="shared" si="132"/>
        <v>1971.1834787306261</v>
      </c>
    </row>
    <row r="62" spans="2:45" s="1" customFormat="1" x14ac:dyDescent="0.3">
      <c r="B62" s="1" t="s">
        <v>93</v>
      </c>
      <c r="Y62" s="1">
        <v>354</v>
      </c>
      <c r="Z62" s="1">
        <v>1</v>
      </c>
      <c r="AA62" s="1">
        <v>332</v>
      </c>
      <c r="AB62" s="1">
        <v>535</v>
      </c>
      <c r="AC62" s="1">
        <v>586</v>
      </c>
      <c r="AD62" s="6">
        <v>808</v>
      </c>
      <c r="AE62" s="6">
        <f>AE61</f>
        <v>1183.5057150000023</v>
      </c>
      <c r="AF62" s="6">
        <f t="shared" ref="AF62:AO62" si="133">AF61</f>
        <v>1446.6646025</v>
      </c>
      <c r="AG62" s="6">
        <f t="shared" si="133"/>
        <v>1594.3621815874999</v>
      </c>
      <c r="AH62" s="6">
        <f t="shared" si="133"/>
        <v>1684.8008440233743</v>
      </c>
      <c r="AI62" s="6">
        <f t="shared" si="133"/>
        <v>1743.6052364113334</v>
      </c>
      <c r="AJ62" s="6">
        <f t="shared" si="133"/>
        <v>1779.3553070190528</v>
      </c>
      <c r="AK62" s="6">
        <f t="shared" si="133"/>
        <v>1815.945909591886</v>
      </c>
      <c r="AL62" s="6">
        <f t="shared" si="133"/>
        <v>1853.3999772487739</v>
      </c>
      <c r="AM62" s="6">
        <f t="shared" si="133"/>
        <v>1891.7411772434202</v>
      </c>
      <c r="AN62" s="6">
        <f t="shared" si="133"/>
        <v>1930.9939382407565</v>
      </c>
      <c r="AO62" s="6">
        <f t="shared" si="133"/>
        <v>1971.1834787306261</v>
      </c>
    </row>
    <row r="63" spans="2:45" x14ac:dyDescent="0.3">
      <c r="B63" t="s">
        <v>12</v>
      </c>
      <c r="Y63" s="3">
        <v>280</v>
      </c>
      <c r="Z63" s="3">
        <v>557</v>
      </c>
      <c r="AA63" s="3">
        <v>254</v>
      </c>
      <c r="AB63" s="3">
        <v>249</v>
      </c>
      <c r="AC63" s="3">
        <v>308</v>
      </c>
      <c r="AD63" s="3">
        <v>403</v>
      </c>
      <c r="AE63" s="3">
        <f>AD63*1.2</f>
        <v>483.59999999999997</v>
      </c>
      <c r="AF63" s="3">
        <f>AE63*1.15</f>
        <v>556.13999999999987</v>
      </c>
      <c r="AG63" s="3">
        <f>AF63*1.1</f>
        <v>611.75399999999991</v>
      </c>
      <c r="AH63" s="3">
        <f>AG63*1.05</f>
        <v>642.34169999999995</v>
      </c>
      <c r="AI63" s="3">
        <f>AH63*1.04</f>
        <v>668.03536799999995</v>
      </c>
      <c r="AJ63" s="3">
        <f>AI63*1.03</f>
        <v>688.07642903999999</v>
      </c>
      <c r="AK63" s="3">
        <f>AJ63*1.02</f>
        <v>701.83795762080001</v>
      </c>
      <c r="AL63" s="3">
        <f t="shared" ref="AL63:AO63" si="134">AK63*1.02</f>
        <v>715.87471677321605</v>
      </c>
      <c r="AM63" s="3">
        <f t="shared" si="134"/>
        <v>730.19221110868034</v>
      </c>
      <c r="AN63" s="3">
        <f t="shared" si="134"/>
        <v>744.79605533085396</v>
      </c>
      <c r="AO63" s="3">
        <f t="shared" si="134"/>
        <v>759.691976437471</v>
      </c>
    </row>
    <row r="64" spans="2:45" x14ac:dyDescent="0.3">
      <c r="B64" t="s">
        <v>94</v>
      </c>
      <c r="Y64" s="3"/>
      <c r="Z64" s="3"/>
      <c r="AA64" s="3">
        <v>91</v>
      </c>
      <c r="AB64" s="3">
        <v>12</v>
      </c>
      <c r="AC64" s="3">
        <v>63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</row>
    <row r="65" spans="2:139" x14ac:dyDescent="0.3">
      <c r="B65" t="s">
        <v>95</v>
      </c>
      <c r="Y65" s="3">
        <f>-20-2</f>
        <v>-22</v>
      </c>
      <c r="Z65" s="3">
        <f>-42-4</f>
        <v>-46</v>
      </c>
      <c r="AA65" s="3">
        <f>-35-17</f>
        <v>-52</v>
      </c>
      <c r="AB65" s="3">
        <f>-62-18</f>
        <v>-80</v>
      </c>
      <c r="AC65" s="3">
        <f>-20+8</f>
        <v>-12</v>
      </c>
      <c r="AD65" s="3">
        <v>-18</v>
      </c>
      <c r="AE65" s="3">
        <v>-30</v>
      </c>
      <c r="AF65" s="3">
        <v>-30</v>
      </c>
      <c r="AG65" s="3">
        <v>-30</v>
      </c>
      <c r="AH65" s="3">
        <v>-30</v>
      </c>
      <c r="AI65" s="3">
        <v>-30</v>
      </c>
      <c r="AJ65" s="3">
        <v>-30</v>
      </c>
      <c r="AK65" s="3">
        <v>-30</v>
      </c>
      <c r="AL65" s="3">
        <v>-30</v>
      </c>
      <c r="AM65" s="3">
        <v>-30</v>
      </c>
      <c r="AN65" s="3">
        <v>-30</v>
      </c>
      <c r="AO65" s="3">
        <v>-30</v>
      </c>
    </row>
    <row r="66" spans="2:139" x14ac:dyDescent="0.3">
      <c r="B66" t="s">
        <v>96</v>
      </c>
      <c r="Y66" s="3">
        <v>0</v>
      </c>
      <c r="Z66" s="3">
        <v>-6</v>
      </c>
      <c r="AA66" s="3">
        <v>0</v>
      </c>
      <c r="AB66" s="3">
        <v>-5</v>
      </c>
      <c r="AC66" s="3">
        <v>-48</v>
      </c>
      <c r="AD66" s="3">
        <v>-6</v>
      </c>
      <c r="AE66" s="3">
        <v>-6</v>
      </c>
      <c r="AF66" s="3">
        <v>-6</v>
      </c>
      <c r="AG66" s="3">
        <v>-6</v>
      </c>
      <c r="AH66" s="3">
        <v>-6</v>
      </c>
      <c r="AI66" s="3">
        <v>-6</v>
      </c>
      <c r="AJ66" s="3">
        <v>-6</v>
      </c>
      <c r="AK66" s="3">
        <v>-6</v>
      </c>
      <c r="AL66" s="3">
        <v>-6</v>
      </c>
      <c r="AM66" s="3">
        <v>-6</v>
      </c>
      <c r="AN66" s="3">
        <v>-6</v>
      </c>
      <c r="AO66" s="3">
        <v>-6</v>
      </c>
    </row>
    <row r="67" spans="2:139" x14ac:dyDescent="0.3">
      <c r="B67" t="s">
        <v>97</v>
      </c>
      <c r="Y67" s="3">
        <v>23</v>
      </c>
      <c r="Z67" s="3">
        <v>88</v>
      </c>
      <c r="AA67" s="3">
        <v>-51</v>
      </c>
      <c r="AB67" s="3">
        <v>-9</v>
      </c>
      <c r="AC67" s="3">
        <v>-59</v>
      </c>
      <c r="AD67" s="3">
        <v>103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</row>
    <row r="68" spans="2:139" x14ac:dyDescent="0.3">
      <c r="B68" t="s">
        <v>98</v>
      </c>
      <c r="Y68" s="3">
        <v>31</v>
      </c>
      <c r="Z68" s="3">
        <v>-119</v>
      </c>
      <c r="AA68" s="3">
        <v>22</v>
      </c>
      <c r="AB68" s="3">
        <v>-507</v>
      </c>
      <c r="AC68" s="3">
        <v>29</v>
      </c>
      <c r="AD68" s="3">
        <v>135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</row>
    <row r="69" spans="2:139" x14ac:dyDescent="0.3">
      <c r="B69" t="s">
        <v>99</v>
      </c>
      <c r="Y69" s="3">
        <v>-68</v>
      </c>
      <c r="Z69" s="3">
        <v>-28</v>
      </c>
      <c r="AA69" s="3">
        <v>63</v>
      </c>
      <c r="AB69" s="3">
        <v>-39</v>
      </c>
      <c r="AC69" s="3">
        <v>-217</v>
      </c>
      <c r="AD69" s="3">
        <v>407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</row>
    <row r="70" spans="2:139" x14ac:dyDescent="0.3">
      <c r="B70" t="s">
        <v>100</v>
      </c>
      <c r="Y70" s="3"/>
      <c r="Z70" s="3"/>
      <c r="AA70" s="3"/>
      <c r="AB70" s="3"/>
      <c r="AC70" s="3">
        <v>39</v>
      </c>
      <c r="AD70" s="3">
        <v>-102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</row>
    <row r="71" spans="2:139" x14ac:dyDescent="0.3">
      <c r="B71" t="s">
        <v>101</v>
      </c>
      <c r="Y71" s="3">
        <v>-37</v>
      </c>
      <c r="Z71" s="3">
        <v>-10</v>
      </c>
      <c r="AA71" s="3">
        <v>-15</v>
      </c>
      <c r="AB71" s="3">
        <v>-32</v>
      </c>
      <c r="AC71" s="3">
        <v>-4</v>
      </c>
      <c r="AD71" s="3">
        <v>15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</row>
    <row r="72" spans="2:139" x14ac:dyDescent="0.3">
      <c r="B72" t="s">
        <v>102</v>
      </c>
      <c r="Y72" s="3">
        <v>17</v>
      </c>
      <c r="Z72" s="3">
        <v>21</v>
      </c>
      <c r="AA72" s="3">
        <v>30</v>
      </c>
      <c r="AB72" s="3">
        <v>17</v>
      </c>
      <c r="AC72" s="3">
        <v>29</v>
      </c>
      <c r="AD72" s="3">
        <v>16</v>
      </c>
      <c r="AE72" s="3">
        <v>16</v>
      </c>
      <c r="AF72" s="3">
        <v>16</v>
      </c>
      <c r="AG72" s="3">
        <v>16</v>
      </c>
      <c r="AH72" s="3">
        <v>16</v>
      </c>
      <c r="AI72" s="3">
        <v>16</v>
      </c>
      <c r="AJ72" s="3">
        <v>16</v>
      </c>
      <c r="AK72" s="3">
        <v>16</v>
      </c>
      <c r="AL72" s="3">
        <v>16</v>
      </c>
      <c r="AM72" s="3">
        <v>16</v>
      </c>
      <c r="AN72" s="3">
        <v>16</v>
      </c>
      <c r="AO72" s="3">
        <v>16</v>
      </c>
    </row>
    <row r="73" spans="2:139" x14ac:dyDescent="0.3">
      <c r="B73" t="s">
        <v>103</v>
      </c>
      <c r="Y73" s="3">
        <v>24</v>
      </c>
      <c r="Z73" s="3">
        <v>-5</v>
      </c>
      <c r="AA73" s="3">
        <v>16</v>
      </c>
      <c r="AB73" s="3">
        <v>33</v>
      </c>
      <c r="AC73" s="3">
        <v>28</v>
      </c>
      <c r="AD73" s="3">
        <v>-42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</row>
    <row r="74" spans="2:139" s="1" customFormat="1" x14ac:dyDescent="0.3">
      <c r="B74" s="1" t="s">
        <v>104</v>
      </c>
      <c r="Y74" s="6">
        <f t="shared" ref="Y74:AD74" si="135">Y62+SUM(Y63:Y73)</f>
        <v>602</v>
      </c>
      <c r="Z74" s="6">
        <f t="shared" si="135"/>
        <v>453</v>
      </c>
      <c r="AA74" s="6">
        <f t="shared" si="135"/>
        <v>690</v>
      </c>
      <c r="AB74" s="6">
        <f t="shared" si="135"/>
        <v>174</v>
      </c>
      <c r="AC74" s="6">
        <f t="shared" si="135"/>
        <v>742</v>
      </c>
      <c r="AD74" s="6">
        <f t="shared" si="135"/>
        <v>1719</v>
      </c>
      <c r="AE74" s="6">
        <f t="shared" ref="AE74:AO74" si="136">AE62+SUM(AE63:AE73)</f>
        <v>1647.1057150000022</v>
      </c>
      <c r="AF74" s="6">
        <f t="shared" si="136"/>
        <v>1982.8046024999999</v>
      </c>
      <c r="AG74" s="6">
        <f t="shared" si="136"/>
        <v>2186.1161815874998</v>
      </c>
      <c r="AH74" s="6">
        <f t="shared" si="136"/>
        <v>2307.1425440233743</v>
      </c>
      <c r="AI74" s="6">
        <f t="shared" si="136"/>
        <v>2391.6406044113332</v>
      </c>
      <c r="AJ74" s="6">
        <f t="shared" si="136"/>
        <v>2447.431736059053</v>
      </c>
      <c r="AK74" s="6">
        <f t="shared" si="136"/>
        <v>2497.7838672126859</v>
      </c>
      <c r="AL74" s="6">
        <f t="shared" si="136"/>
        <v>2549.2746940219899</v>
      </c>
      <c r="AM74" s="6">
        <f t="shared" si="136"/>
        <v>2601.9333883521003</v>
      </c>
      <c r="AN74" s="6">
        <f t="shared" si="136"/>
        <v>2655.7899935716105</v>
      </c>
      <c r="AO74" s="6">
        <f t="shared" si="136"/>
        <v>2710.8754551680972</v>
      </c>
    </row>
    <row r="75" spans="2:139" x14ac:dyDescent="0.3">
      <c r="B75" t="s">
        <v>105</v>
      </c>
      <c r="Y75" s="3">
        <v>288</v>
      </c>
      <c r="Z75" s="3">
        <v>237</v>
      </c>
      <c r="AA75" s="3">
        <v>271</v>
      </c>
      <c r="AB75" s="3">
        <v>349</v>
      </c>
      <c r="AC75" s="3">
        <v>398</v>
      </c>
      <c r="AD75" s="3">
        <v>732</v>
      </c>
      <c r="AE75" s="3">
        <v>1000</v>
      </c>
      <c r="AF75" s="3">
        <f>AE75*0.9</f>
        <v>900</v>
      </c>
      <c r="AG75" s="3">
        <f t="shared" ref="AG75:AJ75" si="137">AF75*0.9</f>
        <v>810</v>
      </c>
      <c r="AH75" s="3">
        <f t="shared" si="137"/>
        <v>729</v>
      </c>
      <c r="AI75" s="3">
        <f t="shared" si="137"/>
        <v>656.1</v>
      </c>
      <c r="AJ75" s="3">
        <f t="shared" si="137"/>
        <v>590.49</v>
      </c>
      <c r="AK75" s="3">
        <f>AJ75*0.95</f>
        <v>560.96550000000002</v>
      </c>
      <c r="AL75" s="3">
        <f t="shared" ref="AL75:AO75" si="138">AK75*0.95</f>
        <v>532.91722500000003</v>
      </c>
      <c r="AM75" s="3">
        <f t="shared" si="138"/>
        <v>506.27136374999998</v>
      </c>
      <c r="AN75" s="3">
        <f t="shared" si="138"/>
        <v>480.95779556249994</v>
      </c>
      <c r="AO75" s="3">
        <f t="shared" si="138"/>
        <v>456.90990578437493</v>
      </c>
    </row>
    <row r="76" spans="2:139" s="1" customFormat="1" x14ac:dyDescent="0.3">
      <c r="B76" s="1" t="s">
        <v>106</v>
      </c>
      <c r="Y76" s="6">
        <f t="shared" ref="Y76:AD76" si="139">Y74-Y75</f>
        <v>314</v>
      </c>
      <c r="Z76" s="6">
        <f t="shared" si="139"/>
        <v>216</v>
      </c>
      <c r="AA76" s="6">
        <f t="shared" si="139"/>
        <v>419</v>
      </c>
      <c r="AB76" s="6">
        <f t="shared" si="139"/>
        <v>-175</v>
      </c>
      <c r="AC76" s="6">
        <f t="shared" si="139"/>
        <v>344</v>
      </c>
      <c r="AD76" s="6">
        <f t="shared" si="139"/>
        <v>987</v>
      </c>
      <c r="AE76" s="6">
        <f t="shared" ref="AE76:AO76" si="140">AE74-AE75</f>
        <v>647.10571500000219</v>
      </c>
      <c r="AF76" s="6">
        <f t="shared" si="140"/>
        <v>1082.8046024999999</v>
      </c>
      <c r="AG76" s="6">
        <f t="shared" si="140"/>
        <v>1376.1161815874998</v>
      </c>
      <c r="AH76" s="6">
        <f t="shared" si="140"/>
        <v>1578.1425440233743</v>
      </c>
      <c r="AI76" s="6">
        <f t="shared" si="140"/>
        <v>1735.5406044113333</v>
      </c>
      <c r="AJ76" s="6">
        <f t="shared" si="140"/>
        <v>1856.941736059053</v>
      </c>
      <c r="AK76" s="6">
        <f t="shared" si="140"/>
        <v>1936.8183672126859</v>
      </c>
      <c r="AL76" s="6">
        <f t="shared" si="140"/>
        <v>2016.3574690219898</v>
      </c>
      <c r="AM76" s="6">
        <f t="shared" si="140"/>
        <v>2095.6620246021002</v>
      </c>
      <c r="AN76" s="6">
        <f t="shared" si="140"/>
        <v>2174.8321980091105</v>
      </c>
      <c r="AO76" s="6">
        <f t="shared" si="140"/>
        <v>2253.9655493837222</v>
      </c>
      <c r="AP76" s="1">
        <f>AO76*(1+AS45)</f>
        <v>2231.4258938898852</v>
      </c>
      <c r="AQ76" s="1">
        <f t="shared" ref="AQ76:DB76" si="141">AP76*(1+AT45)</f>
        <v>2231.4258938898852</v>
      </c>
      <c r="AR76" s="1">
        <f t="shared" si="141"/>
        <v>2231.4258938898852</v>
      </c>
      <c r="AS76" s="1">
        <f t="shared" si="141"/>
        <v>2231.4258938898852</v>
      </c>
      <c r="AT76" s="1">
        <f t="shared" si="141"/>
        <v>2231.4258938898852</v>
      </c>
      <c r="AU76" s="1">
        <f t="shared" si="141"/>
        <v>2231.4258938898852</v>
      </c>
      <c r="AV76" s="1">
        <f t="shared" si="141"/>
        <v>2231.4258938898852</v>
      </c>
      <c r="AW76" s="1">
        <f t="shared" si="141"/>
        <v>2231.4258938898852</v>
      </c>
      <c r="AX76" s="1">
        <f t="shared" si="141"/>
        <v>2231.4258938898852</v>
      </c>
      <c r="AY76" s="1">
        <f t="shared" si="141"/>
        <v>2231.4258938898852</v>
      </c>
      <c r="AZ76" s="1">
        <f t="shared" si="141"/>
        <v>2231.4258938898852</v>
      </c>
      <c r="BA76" s="1">
        <f t="shared" si="141"/>
        <v>2231.4258938898852</v>
      </c>
      <c r="BB76" s="1">
        <f t="shared" si="141"/>
        <v>2231.4258938898852</v>
      </c>
      <c r="BC76" s="1">
        <f t="shared" si="141"/>
        <v>2231.4258938898852</v>
      </c>
      <c r="BD76" s="1">
        <f t="shared" si="141"/>
        <v>2231.4258938898852</v>
      </c>
      <c r="BE76" s="1">
        <f t="shared" si="141"/>
        <v>2231.4258938898852</v>
      </c>
      <c r="BF76" s="1">
        <f t="shared" si="141"/>
        <v>2231.4258938898852</v>
      </c>
      <c r="BG76" s="1">
        <f t="shared" si="141"/>
        <v>2231.4258938898852</v>
      </c>
      <c r="BH76" s="1">
        <f t="shared" si="141"/>
        <v>2231.4258938898852</v>
      </c>
      <c r="BI76" s="1">
        <f t="shared" si="141"/>
        <v>2231.4258938898852</v>
      </c>
      <c r="BJ76" s="1">
        <f t="shared" si="141"/>
        <v>2231.4258938898852</v>
      </c>
      <c r="BK76" s="1">
        <f t="shared" si="141"/>
        <v>2231.4258938898852</v>
      </c>
      <c r="BL76" s="1">
        <f t="shared" si="141"/>
        <v>2231.4258938898852</v>
      </c>
      <c r="BM76" s="1">
        <f t="shared" si="141"/>
        <v>2231.4258938898852</v>
      </c>
      <c r="BN76" s="1">
        <f t="shared" si="141"/>
        <v>2231.4258938898852</v>
      </c>
      <c r="BO76" s="1">
        <f t="shared" si="141"/>
        <v>2231.4258938898852</v>
      </c>
      <c r="BP76" s="1">
        <f t="shared" si="141"/>
        <v>2231.4258938898852</v>
      </c>
      <c r="BQ76" s="1">
        <f t="shared" si="141"/>
        <v>2231.4258938898852</v>
      </c>
      <c r="BR76" s="1">
        <f t="shared" si="141"/>
        <v>2231.4258938898852</v>
      </c>
      <c r="BS76" s="1">
        <f t="shared" si="141"/>
        <v>2231.4258938898852</v>
      </c>
      <c r="BT76" s="1">
        <f t="shared" si="141"/>
        <v>2231.4258938898852</v>
      </c>
      <c r="BU76" s="1">
        <f t="shared" si="141"/>
        <v>2231.4258938898852</v>
      </c>
      <c r="BV76" s="1">
        <f t="shared" si="141"/>
        <v>2231.4258938898852</v>
      </c>
      <c r="BW76" s="1">
        <f t="shared" si="141"/>
        <v>2231.4258938898852</v>
      </c>
      <c r="BX76" s="1">
        <f t="shared" si="141"/>
        <v>2231.4258938898852</v>
      </c>
      <c r="BY76" s="1">
        <f t="shared" si="141"/>
        <v>2231.4258938898852</v>
      </c>
      <c r="BZ76" s="1">
        <f t="shared" si="141"/>
        <v>2231.4258938898852</v>
      </c>
      <c r="CA76" s="1">
        <f t="shared" si="141"/>
        <v>2231.4258938898852</v>
      </c>
      <c r="CB76" s="1">
        <f t="shared" si="141"/>
        <v>2231.4258938898852</v>
      </c>
      <c r="CC76" s="1">
        <f t="shared" si="141"/>
        <v>2231.4258938898852</v>
      </c>
      <c r="CD76" s="1">
        <f t="shared" si="141"/>
        <v>2231.4258938898852</v>
      </c>
      <c r="CE76" s="1">
        <f t="shared" si="141"/>
        <v>2231.4258938898852</v>
      </c>
      <c r="CF76" s="1">
        <f t="shared" si="141"/>
        <v>2231.4258938898852</v>
      </c>
      <c r="CG76" s="1">
        <f t="shared" si="141"/>
        <v>2231.4258938898852</v>
      </c>
      <c r="CH76" s="1">
        <f t="shared" si="141"/>
        <v>2231.4258938898852</v>
      </c>
      <c r="CI76" s="1">
        <f t="shared" si="141"/>
        <v>2231.4258938898852</v>
      </c>
      <c r="CJ76" s="1">
        <f t="shared" si="141"/>
        <v>2231.4258938898852</v>
      </c>
      <c r="CK76" s="1">
        <f t="shared" si="141"/>
        <v>2231.4258938898852</v>
      </c>
      <c r="CL76" s="1">
        <f t="shared" si="141"/>
        <v>2231.4258938898852</v>
      </c>
      <c r="CM76" s="1">
        <f t="shared" si="141"/>
        <v>2231.4258938898852</v>
      </c>
      <c r="CN76" s="1">
        <f t="shared" si="141"/>
        <v>2231.4258938898852</v>
      </c>
      <c r="CO76" s="1">
        <f t="shared" si="141"/>
        <v>2231.4258938898852</v>
      </c>
      <c r="CP76" s="1">
        <f t="shared" si="141"/>
        <v>2231.4258938898852</v>
      </c>
      <c r="CQ76" s="1">
        <f t="shared" si="141"/>
        <v>2231.4258938898852</v>
      </c>
      <c r="CR76" s="1">
        <f t="shared" si="141"/>
        <v>2231.4258938898852</v>
      </c>
      <c r="CS76" s="1">
        <f t="shared" si="141"/>
        <v>2231.4258938898852</v>
      </c>
      <c r="CT76" s="1">
        <f t="shared" si="141"/>
        <v>2231.4258938898852</v>
      </c>
      <c r="CU76" s="1">
        <f t="shared" si="141"/>
        <v>2231.4258938898852</v>
      </c>
      <c r="CV76" s="1">
        <f t="shared" si="141"/>
        <v>2231.4258938898852</v>
      </c>
      <c r="CW76" s="1">
        <f t="shared" si="141"/>
        <v>2231.4258938898852</v>
      </c>
      <c r="CX76" s="1">
        <f t="shared" si="141"/>
        <v>2231.4258938898852</v>
      </c>
      <c r="CY76" s="1">
        <f t="shared" si="141"/>
        <v>2231.4258938898852</v>
      </c>
      <c r="CZ76" s="1">
        <f t="shared" si="141"/>
        <v>2231.4258938898852</v>
      </c>
      <c r="DA76" s="1">
        <f t="shared" si="141"/>
        <v>2231.4258938898852</v>
      </c>
      <c r="DB76" s="1">
        <f t="shared" si="141"/>
        <v>2231.4258938898852</v>
      </c>
      <c r="DC76" s="1">
        <f t="shared" ref="DC76:EI76" si="142">DB76*(1+DF45)</f>
        <v>2231.4258938898852</v>
      </c>
      <c r="DD76" s="1">
        <f t="shared" si="142"/>
        <v>2231.4258938898852</v>
      </c>
      <c r="DE76" s="1">
        <f t="shared" si="142"/>
        <v>2231.4258938898852</v>
      </c>
      <c r="DF76" s="1">
        <f t="shared" si="142"/>
        <v>2231.4258938898852</v>
      </c>
      <c r="DG76" s="1">
        <f t="shared" si="142"/>
        <v>2231.4258938898852</v>
      </c>
      <c r="DH76" s="1">
        <f t="shared" si="142"/>
        <v>2231.4258938898852</v>
      </c>
      <c r="DI76" s="1">
        <f t="shared" si="142"/>
        <v>2231.4258938898852</v>
      </c>
      <c r="DJ76" s="1">
        <f t="shared" si="142"/>
        <v>2231.4258938898852</v>
      </c>
      <c r="DK76" s="1">
        <f t="shared" si="142"/>
        <v>2231.4258938898852</v>
      </c>
      <c r="DL76" s="1">
        <f t="shared" si="142"/>
        <v>2231.4258938898852</v>
      </c>
      <c r="DM76" s="1">
        <f t="shared" si="142"/>
        <v>2231.4258938898852</v>
      </c>
      <c r="DN76" s="1">
        <f t="shared" si="142"/>
        <v>2231.4258938898852</v>
      </c>
      <c r="DO76" s="1">
        <f t="shared" si="142"/>
        <v>2231.4258938898852</v>
      </c>
      <c r="DP76" s="1">
        <f t="shared" si="142"/>
        <v>2231.4258938898852</v>
      </c>
      <c r="DQ76" s="1">
        <f t="shared" si="142"/>
        <v>2231.4258938898852</v>
      </c>
      <c r="DR76" s="1">
        <f t="shared" si="142"/>
        <v>2231.4258938898852</v>
      </c>
      <c r="DS76" s="1">
        <f t="shared" si="142"/>
        <v>2231.4258938898852</v>
      </c>
      <c r="DT76" s="1">
        <f t="shared" si="142"/>
        <v>2231.4258938898852</v>
      </c>
      <c r="DU76" s="1">
        <f t="shared" si="142"/>
        <v>2231.4258938898852</v>
      </c>
      <c r="DV76" s="1">
        <f t="shared" si="142"/>
        <v>2231.4258938898852</v>
      </c>
      <c r="DW76" s="1">
        <f t="shared" si="142"/>
        <v>2231.4258938898852</v>
      </c>
      <c r="DX76" s="1">
        <f t="shared" si="142"/>
        <v>2231.4258938898852</v>
      </c>
      <c r="DY76" s="1">
        <f t="shared" si="142"/>
        <v>2231.4258938898852</v>
      </c>
      <c r="DZ76" s="1">
        <f t="shared" si="142"/>
        <v>2231.4258938898852</v>
      </c>
      <c r="EA76" s="1">
        <f t="shared" si="142"/>
        <v>2231.4258938898852</v>
      </c>
      <c r="EB76" s="1">
        <f t="shared" si="142"/>
        <v>2231.4258938898852</v>
      </c>
      <c r="EC76" s="1">
        <f t="shared" si="142"/>
        <v>2231.4258938898852</v>
      </c>
      <c r="ED76" s="1">
        <f t="shared" si="142"/>
        <v>2231.4258938898852</v>
      </c>
      <c r="EE76" s="1">
        <f t="shared" si="142"/>
        <v>2231.4258938898852</v>
      </c>
      <c r="EF76" s="1">
        <f t="shared" si="142"/>
        <v>2231.4258938898852</v>
      </c>
      <c r="EG76" s="1">
        <f t="shared" si="142"/>
        <v>2231.4258938898852</v>
      </c>
      <c r="EH76" s="1">
        <f t="shared" si="142"/>
        <v>2231.4258938898852</v>
      </c>
      <c r="EI76" s="1">
        <f t="shared" si="142"/>
        <v>2231.4258938898852</v>
      </c>
    </row>
    <row r="78" spans="2:139" x14ac:dyDescent="0.3">
      <c r="AS78" s="3">
        <f>NPV(AS46,AE76:EI76)</f>
        <v>27173.392518958393</v>
      </c>
    </row>
    <row r="79" spans="2:139" x14ac:dyDescent="0.3">
      <c r="AS79" s="3">
        <f>AS48</f>
        <v>-893</v>
      </c>
    </row>
    <row r="80" spans="2:139" x14ac:dyDescent="0.3">
      <c r="AS80" s="3">
        <f>AS78+AS79</f>
        <v>26280.392518958393</v>
      </c>
    </row>
    <row r="81" spans="45:45" x14ac:dyDescent="0.3">
      <c r="AS81" s="12">
        <f>AS80/AO38</f>
        <v>605.12071192628127</v>
      </c>
    </row>
    <row r="82" spans="45:45" x14ac:dyDescent="0.3">
      <c r="AS82" s="12">
        <f>Main!D3</f>
        <v>1417</v>
      </c>
    </row>
    <row r="83" spans="45:45" x14ac:dyDescent="0.3">
      <c r="AS83" s="7">
        <f>AS81/AS82-1</f>
        <v>-0.57295644888759267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Petrov</dc:creator>
  <cp:lastModifiedBy>Anton Mniszek</cp:lastModifiedBy>
  <dcterms:created xsi:type="dcterms:W3CDTF">2024-10-24T18:57:32Z</dcterms:created>
  <dcterms:modified xsi:type="dcterms:W3CDTF">2025-03-20T17:55:40Z</dcterms:modified>
</cp:coreProperties>
</file>