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C7EC4B50-B241-4915-9A29-E917745C7DF0}" xr6:coauthVersionLast="47" xr6:coauthVersionMax="47" xr10:uidLastSave="{00000000-0000-0000-0000-000000000000}"/>
  <bookViews>
    <workbookView xWindow="-108" yWindow="-108" windowWidth="23256" windowHeight="12576" activeTab="1" xr2:uid="{ABF471AF-A41B-460E-88DC-31087F0CAAF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2" l="1"/>
  <c r="AB5" i="2" s="1"/>
  <c r="AC5" i="2" s="1"/>
  <c r="AD5" i="2" s="1"/>
  <c r="AN77" i="2"/>
  <c r="AD11" i="2"/>
  <c r="AE11" i="2" s="1"/>
  <c r="AF11" i="2" s="1"/>
  <c r="AG11" i="2" s="1"/>
  <c r="AH11" i="2" s="1"/>
  <c r="AI11" i="2" s="1"/>
  <c r="AJ11" i="2" s="1"/>
  <c r="AC11" i="2"/>
  <c r="AB11" i="2"/>
  <c r="AA11" i="2"/>
  <c r="AA66" i="2"/>
  <c r="AB66" i="2" s="1"/>
  <c r="AC66" i="2" s="1"/>
  <c r="AD66" i="2" s="1"/>
  <c r="AE66" i="2" s="1"/>
  <c r="AF66" i="2" s="1"/>
  <c r="AG66" i="2" s="1"/>
  <c r="AH66" i="2" s="1"/>
  <c r="AI66" i="2" s="1"/>
  <c r="AJ66" i="2" s="1"/>
  <c r="AH57" i="2"/>
  <c r="AI57" i="2" s="1"/>
  <c r="AJ57" i="2" s="1"/>
  <c r="AG57" i="2"/>
  <c r="AF57" i="2"/>
  <c r="AE57" i="2"/>
  <c r="AD57" i="2"/>
  <c r="AC57" i="2"/>
  <c r="AB57" i="2"/>
  <c r="AD69" i="2"/>
  <c r="AE69" i="2" s="1"/>
  <c r="AF69" i="2" s="1"/>
  <c r="AG69" i="2" s="1"/>
  <c r="AH69" i="2" s="1"/>
  <c r="AI69" i="2" s="1"/>
  <c r="AJ69" i="2" s="1"/>
  <c r="AC69" i="2"/>
  <c r="AB69" i="2"/>
  <c r="AA69" i="2"/>
  <c r="AN74" i="2"/>
  <c r="O10" i="2"/>
  <c r="AA57" i="2"/>
  <c r="Z57" i="2"/>
  <c r="Z69" i="2"/>
  <c r="AA58" i="2"/>
  <c r="AB58" i="2" s="1"/>
  <c r="AC58" i="2" s="1"/>
  <c r="AD58" i="2" s="1"/>
  <c r="AE58" i="2" s="1"/>
  <c r="AF58" i="2" s="1"/>
  <c r="AG58" i="2" s="1"/>
  <c r="AH58" i="2" s="1"/>
  <c r="AI58" i="2" s="1"/>
  <c r="AJ58" i="2" s="1"/>
  <c r="Z58" i="2"/>
  <c r="X56" i="2"/>
  <c r="X68" i="2" s="1"/>
  <c r="X70" i="2" s="1"/>
  <c r="Y56" i="2"/>
  <c r="Y68" i="2" s="1"/>
  <c r="Y70" i="2" s="1"/>
  <c r="J52" i="2"/>
  <c r="J54" i="2" s="1"/>
  <c r="J48" i="2"/>
  <c r="J43" i="2"/>
  <c r="J39" i="2"/>
  <c r="J44" i="2" s="1"/>
  <c r="J33" i="2"/>
  <c r="D6" i="1"/>
  <c r="N52" i="2"/>
  <c r="N48" i="2"/>
  <c r="N43" i="2"/>
  <c r="N39" i="2"/>
  <c r="N33" i="2"/>
  <c r="AE5" i="2" l="1"/>
  <c r="AF5" i="2" s="1"/>
  <c r="N54" i="2"/>
  <c r="N44" i="2"/>
  <c r="AG5" i="2" l="1"/>
  <c r="AH5" i="2" s="1"/>
  <c r="AI5" i="2" s="1"/>
  <c r="AN32" i="2"/>
  <c r="R17" i="2"/>
  <c r="Q17" i="2"/>
  <c r="R13" i="2"/>
  <c r="Q13" i="2"/>
  <c r="P13" i="2"/>
  <c r="P17" i="2" s="1"/>
  <c r="O13" i="2"/>
  <c r="O17" i="2" s="1"/>
  <c r="O11" i="2"/>
  <c r="Q5" i="2"/>
  <c r="P5" i="2"/>
  <c r="P25" i="2" s="1"/>
  <c r="O5" i="2"/>
  <c r="Q8" i="2"/>
  <c r="O27" i="2"/>
  <c r="O25" i="2"/>
  <c r="P10" i="2"/>
  <c r="Q10" i="2" s="1"/>
  <c r="R10" i="2" s="1"/>
  <c r="Z20" i="2"/>
  <c r="Z19" i="2"/>
  <c r="Z16" i="2"/>
  <c r="Z15" i="2"/>
  <c r="Z14" i="2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U17" i="2"/>
  <c r="U9" i="2"/>
  <c r="V11" i="2"/>
  <c r="V28" i="2" s="1"/>
  <c r="V17" i="2"/>
  <c r="V9" i="2"/>
  <c r="V26" i="2" s="1"/>
  <c r="W17" i="2"/>
  <c r="X27" i="2"/>
  <c r="W28" i="2"/>
  <c r="W27" i="2"/>
  <c r="V27" i="2"/>
  <c r="M28" i="2"/>
  <c r="L28" i="2"/>
  <c r="K28" i="2"/>
  <c r="I28" i="2"/>
  <c r="H28" i="2"/>
  <c r="G28" i="2"/>
  <c r="Y27" i="2"/>
  <c r="X20" i="2"/>
  <c r="X19" i="2"/>
  <c r="X16" i="2"/>
  <c r="X15" i="2"/>
  <c r="X14" i="2"/>
  <c r="X13" i="2"/>
  <c r="X11" i="2"/>
  <c r="X10" i="2"/>
  <c r="Y20" i="2"/>
  <c r="Y19" i="2"/>
  <c r="Y16" i="2"/>
  <c r="Y15" i="2"/>
  <c r="Y14" i="2"/>
  <c r="Y13" i="2"/>
  <c r="Y11" i="2"/>
  <c r="Y10" i="2"/>
  <c r="M29" i="2"/>
  <c r="M27" i="2"/>
  <c r="L27" i="2"/>
  <c r="K27" i="2"/>
  <c r="K26" i="2"/>
  <c r="H26" i="2"/>
  <c r="M25" i="2"/>
  <c r="L25" i="2"/>
  <c r="K25" i="2"/>
  <c r="N27" i="2"/>
  <c r="G17" i="2"/>
  <c r="G9" i="2"/>
  <c r="G12" i="2" s="1"/>
  <c r="G29" i="2" s="1"/>
  <c r="K17" i="2"/>
  <c r="K9" i="2"/>
  <c r="K12" i="2" s="1"/>
  <c r="K29" i="2" s="1"/>
  <c r="L17" i="2"/>
  <c r="L9" i="2"/>
  <c r="L12" i="2" s="1"/>
  <c r="L18" i="2" s="1"/>
  <c r="L21" i="2" s="1"/>
  <c r="L23" i="2" s="1"/>
  <c r="H17" i="2"/>
  <c r="H9" i="2"/>
  <c r="H12" i="2" s="1"/>
  <c r="H29" i="2" s="1"/>
  <c r="I17" i="2"/>
  <c r="I9" i="2"/>
  <c r="I12" i="2" s="1"/>
  <c r="I18" i="2" s="1"/>
  <c r="I21" i="2" s="1"/>
  <c r="I23" i="2" s="1"/>
  <c r="M17" i="2"/>
  <c r="M9" i="2"/>
  <c r="M12" i="2" s="1"/>
  <c r="I31" i="2" l="1"/>
  <c r="O8" i="2"/>
  <c r="O9" i="2" s="1"/>
  <c r="I26" i="2"/>
  <c r="I30" i="2"/>
  <c r="P8" i="2"/>
  <c r="P9" i="2" s="1"/>
  <c r="I29" i="2"/>
  <c r="O28" i="2"/>
  <c r="L26" i="2"/>
  <c r="L31" i="2"/>
  <c r="P11" i="2"/>
  <c r="Q11" i="2" s="1"/>
  <c r="R11" i="2" s="1"/>
  <c r="L30" i="2"/>
  <c r="G26" i="2"/>
  <c r="M26" i="2"/>
  <c r="L29" i="2"/>
  <c r="P27" i="2"/>
  <c r="Z13" i="2"/>
  <c r="Q25" i="2"/>
  <c r="Q9" i="2"/>
  <c r="U12" i="2"/>
  <c r="V12" i="2"/>
  <c r="W9" i="2"/>
  <c r="W25" i="2"/>
  <c r="X17" i="2"/>
  <c r="Y17" i="2"/>
  <c r="G18" i="2"/>
  <c r="K18" i="2"/>
  <c r="H18" i="2"/>
  <c r="M18" i="2"/>
  <c r="O26" i="2" l="1"/>
  <c r="O12" i="2"/>
  <c r="H21" i="2"/>
  <c r="H30" i="2"/>
  <c r="G21" i="2"/>
  <c r="G30" i="2"/>
  <c r="K21" i="2"/>
  <c r="K30" i="2"/>
  <c r="Z17" i="2"/>
  <c r="AA13" i="2"/>
  <c r="M21" i="2"/>
  <c r="M30" i="2"/>
  <c r="Q27" i="2"/>
  <c r="Z11" i="2"/>
  <c r="Q28" i="2"/>
  <c r="P28" i="2"/>
  <c r="Q12" i="2"/>
  <c r="Q26" i="2"/>
  <c r="P12" i="2"/>
  <c r="P26" i="2"/>
  <c r="U18" i="2"/>
  <c r="V18" i="2"/>
  <c r="V29" i="2"/>
  <c r="W26" i="2"/>
  <c r="W12" i="2"/>
  <c r="J17" i="2"/>
  <c r="J8" i="2"/>
  <c r="X8" i="2" s="1"/>
  <c r="J5" i="2"/>
  <c r="N17" i="2"/>
  <c r="N8" i="2"/>
  <c r="Y8" i="2" s="1"/>
  <c r="N5" i="2"/>
  <c r="D8" i="1"/>
  <c r="AN29" i="2" s="1"/>
  <c r="D5" i="1"/>
  <c r="F3" i="1"/>
  <c r="R5" i="2" l="1"/>
  <c r="Y5" i="2"/>
  <c r="N25" i="2"/>
  <c r="N28" i="2"/>
  <c r="AA17" i="2"/>
  <c r="AB13" i="2"/>
  <c r="O29" i="2"/>
  <c r="O18" i="2"/>
  <c r="J9" i="2"/>
  <c r="J28" i="2"/>
  <c r="X5" i="2"/>
  <c r="K23" i="2"/>
  <c r="K31" i="2"/>
  <c r="G23" i="2"/>
  <c r="G31" i="2"/>
  <c r="M23" i="2"/>
  <c r="M31" i="2"/>
  <c r="H23" i="2"/>
  <c r="H31" i="2"/>
  <c r="D9" i="1"/>
  <c r="R27" i="2"/>
  <c r="Z10" i="2"/>
  <c r="P29" i="2"/>
  <c r="P18" i="2"/>
  <c r="Q29" i="2"/>
  <c r="Q18" i="2"/>
  <c r="U21" i="2"/>
  <c r="V21" i="2"/>
  <c r="V30" i="2"/>
  <c r="W29" i="2"/>
  <c r="W18" i="2"/>
  <c r="N9" i="2"/>
  <c r="O30" i="2" l="1"/>
  <c r="O21" i="2"/>
  <c r="Y25" i="2"/>
  <c r="Y28" i="2"/>
  <c r="AC13" i="2"/>
  <c r="AB17" i="2"/>
  <c r="X25" i="2"/>
  <c r="X9" i="2"/>
  <c r="X28" i="2"/>
  <c r="J12" i="2"/>
  <c r="J26" i="2"/>
  <c r="Y9" i="2"/>
  <c r="N12" i="2"/>
  <c r="N29" i="2" s="1"/>
  <c r="N26" i="2"/>
  <c r="R8" i="2"/>
  <c r="R25" i="2"/>
  <c r="Z5" i="2"/>
  <c r="R28" i="2"/>
  <c r="P30" i="2"/>
  <c r="P21" i="2"/>
  <c r="AA10" i="2"/>
  <c r="Z27" i="2"/>
  <c r="Q30" i="2"/>
  <c r="Q21" i="2"/>
  <c r="N18" i="2"/>
  <c r="N30" i="2" s="1"/>
  <c r="U23" i="2"/>
  <c r="V31" i="2"/>
  <c r="V23" i="2"/>
  <c r="W21" i="2"/>
  <c r="W30" i="2"/>
  <c r="AJ5" i="2" l="1"/>
  <c r="R9" i="2"/>
  <c r="Z8" i="2"/>
  <c r="AD13" i="2"/>
  <c r="AC17" i="2"/>
  <c r="Y26" i="2"/>
  <c r="Y12" i="2"/>
  <c r="J18" i="2"/>
  <c r="J29" i="2"/>
  <c r="O31" i="2"/>
  <c r="O23" i="2"/>
  <c r="Z9" i="2"/>
  <c r="Z25" i="2"/>
  <c r="Z28" i="2"/>
  <c r="X12" i="2"/>
  <c r="X26" i="2"/>
  <c r="P23" i="2"/>
  <c r="P31" i="2"/>
  <c r="AB10" i="2"/>
  <c r="AA27" i="2"/>
  <c r="Q23" i="2"/>
  <c r="Q31" i="2"/>
  <c r="N21" i="2"/>
  <c r="N31" i="2" s="1"/>
  <c r="W23" i="2"/>
  <c r="W31" i="2"/>
  <c r="J21" i="2" l="1"/>
  <c r="J30" i="2"/>
  <c r="X29" i="2"/>
  <c r="X18" i="2"/>
  <c r="Z26" i="2"/>
  <c r="Z12" i="2"/>
  <c r="Y29" i="2"/>
  <c r="Y18" i="2"/>
  <c r="AA28" i="2"/>
  <c r="AA25" i="2"/>
  <c r="AA9" i="2"/>
  <c r="AA8" i="2" s="1"/>
  <c r="N23" i="2"/>
  <c r="AE13" i="2"/>
  <c r="AD17" i="2"/>
  <c r="R26" i="2"/>
  <c r="R12" i="2"/>
  <c r="AB27" i="2"/>
  <c r="AC10" i="2"/>
  <c r="AA26" i="2" l="1"/>
  <c r="AA12" i="2"/>
  <c r="Z29" i="2"/>
  <c r="Z18" i="2"/>
  <c r="X21" i="2"/>
  <c r="X30" i="2"/>
  <c r="R29" i="2"/>
  <c r="R18" i="2"/>
  <c r="AF13" i="2"/>
  <c r="AE17" i="2"/>
  <c r="AB28" i="2"/>
  <c r="AB25" i="2"/>
  <c r="AB9" i="2"/>
  <c r="AB8" i="2" s="1"/>
  <c r="Y21" i="2"/>
  <c r="Y30" i="2"/>
  <c r="J31" i="2"/>
  <c r="J23" i="2"/>
  <c r="AD10" i="2"/>
  <c r="AC27" i="2"/>
  <c r="AB26" i="2" l="1"/>
  <c r="AB12" i="2"/>
  <c r="Y23" i="2"/>
  <c r="Y31" i="2"/>
  <c r="Z30" i="2"/>
  <c r="Z21" i="2"/>
  <c r="Z56" i="2" s="1"/>
  <c r="Z68" i="2" s="1"/>
  <c r="Z70" i="2" s="1"/>
  <c r="AC28" i="2"/>
  <c r="AC25" i="2"/>
  <c r="AC9" i="2"/>
  <c r="AC8" i="2" s="1"/>
  <c r="AA18" i="2"/>
  <c r="AA29" i="2"/>
  <c r="R21" i="2"/>
  <c r="R30" i="2"/>
  <c r="X23" i="2"/>
  <c r="X31" i="2"/>
  <c r="AG13" i="2"/>
  <c r="AF17" i="2"/>
  <c r="AD27" i="2"/>
  <c r="AE10" i="2"/>
  <c r="Z23" i="2" l="1"/>
  <c r="Z31" i="2"/>
  <c r="AA30" i="2"/>
  <c r="AA21" i="2"/>
  <c r="AA56" i="2" s="1"/>
  <c r="AA68" i="2" s="1"/>
  <c r="AA70" i="2" s="1"/>
  <c r="R23" i="2"/>
  <c r="R31" i="2"/>
  <c r="AD28" i="2"/>
  <c r="AD9" i="2"/>
  <c r="AD8" i="2" s="1"/>
  <c r="AD25" i="2"/>
  <c r="AH13" i="2"/>
  <c r="AG17" i="2"/>
  <c r="AC12" i="2"/>
  <c r="AC26" i="2"/>
  <c r="AB18" i="2"/>
  <c r="AB29" i="2"/>
  <c r="AF10" i="2"/>
  <c r="AE27" i="2"/>
  <c r="AE28" i="2" l="1"/>
  <c r="AE9" i="2"/>
  <c r="AE8" i="2" s="1"/>
  <c r="AE25" i="2"/>
  <c r="AC18" i="2"/>
  <c r="AC29" i="2"/>
  <c r="AI13" i="2"/>
  <c r="AH17" i="2"/>
  <c r="AA31" i="2"/>
  <c r="AA23" i="2"/>
  <c r="AD26" i="2"/>
  <c r="AD12" i="2"/>
  <c r="AB30" i="2"/>
  <c r="AB21" i="2"/>
  <c r="AB56" i="2" s="1"/>
  <c r="AB68" i="2" s="1"/>
  <c r="AB70" i="2" s="1"/>
  <c r="AG10" i="2"/>
  <c r="AF27" i="2"/>
  <c r="AJ13" i="2" l="1"/>
  <c r="AJ17" i="2" s="1"/>
  <c r="AI17" i="2"/>
  <c r="AD29" i="2"/>
  <c r="AD18" i="2"/>
  <c r="AB31" i="2"/>
  <c r="AB23" i="2"/>
  <c r="AC21" i="2"/>
  <c r="AC56" i="2" s="1"/>
  <c r="AC68" i="2" s="1"/>
  <c r="AC70" i="2" s="1"/>
  <c r="AC30" i="2"/>
  <c r="AE26" i="2"/>
  <c r="AE12" i="2"/>
  <c r="AF28" i="2"/>
  <c r="AF25" i="2"/>
  <c r="AF9" i="2"/>
  <c r="AF8" i="2" s="1"/>
  <c r="AH10" i="2"/>
  <c r="AG27" i="2"/>
  <c r="AC31" i="2" l="1"/>
  <c r="AC23" i="2"/>
  <c r="AF26" i="2"/>
  <c r="AF12" i="2"/>
  <c r="AG28" i="2"/>
  <c r="AG9" i="2"/>
  <c r="AG25" i="2"/>
  <c r="AE29" i="2"/>
  <c r="AE18" i="2"/>
  <c r="AD30" i="2"/>
  <c r="AD21" i="2"/>
  <c r="AD56" i="2" s="1"/>
  <c r="AD68" i="2" s="1"/>
  <c r="AD70" i="2" s="1"/>
  <c r="AI10" i="2"/>
  <c r="AH27" i="2"/>
  <c r="AD31" i="2" l="1"/>
  <c r="AD23" i="2"/>
  <c r="AH28" i="2"/>
  <c r="AH25" i="2"/>
  <c r="AH9" i="2"/>
  <c r="AH8" i="2" s="1"/>
  <c r="AG26" i="2"/>
  <c r="AG12" i="2"/>
  <c r="AF29" i="2"/>
  <c r="AF18" i="2"/>
  <c r="AE21" i="2"/>
  <c r="AE56" i="2" s="1"/>
  <c r="AE68" i="2" s="1"/>
  <c r="AE70" i="2" s="1"/>
  <c r="AE30" i="2"/>
  <c r="AG8" i="2"/>
  <c r="AJ10" i="2"/>
  <c r="AJ27" i="2" s="1"/>
  <c r="AI27" i="2"/>
  <c r="AE31" i="2" l="1"/>
  <c r="AE23" i="2"/>
  <c r="AH26" i="2"/>
  <c r="AH12" i="2"/>
  <c r="AF21" i="2"/>
  <c r="AF56" i="2" s="1"/>
  <c r="AF68" i="2" s="1"/>
  <c r="AF70" i="2" s="1"/>
  <c r="AF30" i="2"/>
  <c r="AI28" i="2"/>
  <c r="AI9" i="2"/>
  <c r="AI25" i="2"/>
  <c r="AG18" i="2"/>
  <c r="AG29" i="2"/>
  <c r="AI26" i="2" l="1"/>
  <c r="AI12" i="2"/>
  <c r="AJ28" i="2"/>
  <c r="AJ25" i="2"/>
  <c r="AJ9" i="2"/>
  <c r="AJ8" i="2" s="1"/>
  <c r="AF23" i="2"/>
  <c r="AF31" i="2"/>
  <c r="AG30" i="2"/>
  <c r="AG21" i="2"/>
  <c r="AG56" i="2" s="1"/>
  <c r="AG68" i="2" s="1"/>
  <c r="AG70" i="2" s="1"/>
  <c r="AH29" i="2"/>
  <c r="AH18" i="2"/>
  <c r="AI8" i="2"/>
  <c r="AH21" i="2" l="1"/>
  <c r="AH56" i="2" s="1"/>
  <c r="AH68" i="2" s="1"/>
  <c r="AH70" i="2" s="1"/>
  <c r="AH30" i="2"/>
  <c r="AG23" i="2"/>
  <c r="AG31" i="2"/>
  <c r="AI18" i="2"/>
  <c r="AI29" i="2"/>
  <c r="AJ26" i="2"/>
  <c r="AJ12" i="2"/>
  <c r="AI30" i="2" l="1"/>
  <c r="AI21" i="2"/>
  <c r="AI56" i="2" s="1"/>
  <c r="AI68" i="2" s="1"/>
  <c r="AI70" i="2" s="1"/>
  <c r="AJ18" i="2"/>
  <c r="AJ29" i="2"/>
  <c r="AH31" i="2"/>
  <c r="AH23" i="2"/>
  <c r="AJ30" i="2" l="1"/>
  <c r="AJ21" i="2"/>
  <c r="AJ56" i="2" s="1"/>
  <c r="AJ68" i="2" s="1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BJ70" i="2" s="1"/>
  <c r="BK70" i="2" s="1"/>
  <c r="BL70" i="2" s="1"/>
  <c r="BM70" i="2" s="1"/>
  <c r="BN70" i="2" s="1"/>
  <c r="BO70" i="2" s="1"/>
  <c r="BP70" i="2" s="1"/>
  <c r="BQ70" i="2" s="1"/>
  <c r="BR70" i="2" s="1"/>
  <c r="BS70" i="2" s="1"/>
  <c r="BT70" i="2" s="1"/>
  <c r="BU70" i="2" s="1"/>
  <c r="BV70" i="2" s="1"/>
  <c r="BW70" i="2" s="1"/>
  <c r="BX70" i="2" s="1"/>
  <c r="BY70" i="2" s="1"/>
  <c r="BZ70" i="2" s="1"/>
  <c r="CA70" i="2" s="1"/>
  <c r="CB70" i="2" s="1"/>
  <c r="CC70" i="2" s="1"/>
  <c r="CD70" i="2" s="1"/>
  <c r="CE70" i="2" s="1"/>
  <c r="CF70" i="2" s="1"/>
  <c r="CG70" i="2" s="1"/>
  <c r="CH70" i="2" s="1"/>
  <c r="CI70" i="2" s="1"/>
  <c r="CJ70" i="2" s="1"/>
  <c r="CK70" i="2" s="1"/>
  <c r="CL70" i="2" s="1"/>
  <c r="CM70" i="2" s="1"/>
  <c r="CN70" i="2" s="1"/>
  <c r="CO70" i="2" s="1"/>
  <c r="CP70" i="2" s="1"/>
  <c r="CQ70" i="2" s="1"/>
  <c r="CR70" i="2" s="1"/>
  <c r="CS70" i="2" s="1"/>
  <c r="CT70" i="2" s="1"/>
  <c r="CU70" i="2" s="1"/>
  <c r="CV70" i="2" s="1"/>
  <c r="CW70" i="2" s="1"/>
  <c r="CX70" i="2" s="1"/>
  <c r="CY70" i="2" s="1"/>
  <c r="CZ70" i="2" s="1"/>
  <c r="DA70" i="2" s="1"/>
  <c r="DB70" i="2" s="1"/>
  <c r="DC70" i="2" s="1"/>
  <c r="DD70" i="2" s="1"/>
  <c r="DE70" i="2" s="1"/>
  <c r="DF70" i="2" s="1"/>
  <c r="DG70" i="2" s="1"/>
  <c r="DH70" i="2" s="1"/>
  <c r="DI70" i="2" s="1"/>
  <c r="DJ70" i="2" s="1"/>
  <c r="DK70" i="2" s="1"/>
  <c r="DL70" i="2" s="1"/>
  <c r="DM70" i="2" s="1"/>
  <c r="DN70" i="2" s="1"/>
  <c r="DO70" i="2" s="1"/>
  <c r="DP70" i="2" s="1"/>
  <c r="DQ70" i="2" s="1"/>
  <c r="DR70" i="2" s="1"/>
  <c r="DS70" i="2" s="1"/>
  <c r="DT70" i="2" s="1"/>
  <c r="DU70" i="2" s="1"/>
  <c r="DV70" i="2" s="1"/>
  <c r="DW70" i="2" s="1"/>
  <c r="DX70" i="2" s="1"/>
  <c r="DY70" i="2" s="1"/>
  <c r="DZ70" i="2" s="1"/>
  <c r="EA70" i="2" s="1"/>
  <c r="EB70" i="2" s="1"/>
  <c r="EC70" i="2" s="1"/>
  <c r="ED70" i="2" s="1"/>
  <c r="EE70" i="2" s="1"/>
  <c r="EF70" i="2" s="1"/>
  <c r="EG70" i="2" s="1"/>
  <c r="EH70" i="2" s="1"/>
  <c r="EI70" i="2" s="1"/>
  <c r="EJ70" i="2" s="1"/>
  <c r="AN73" i="2" s="1"/>
  <c r="AN75" i="2" s="1"/>
  <c r="AN76" i="2" s="1"/>
  <c r="AN78" i="2" s="1"/>
  <c r="AI23" i="2"/>
  <c r="AI31" i="2"/>
  <c r="AJ23" i="2" l="1"/>
  <c r="AJ31" i="2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AN28" i="2" s="1"/>
  <c r="AN30" i="2" s="1"/>
  <c r="AN31" i="2" s="1"/>
  <c r="AN33" i="2" s="1"/>
</calcChain>
</file>

<file path=xl/sharedStrings.xml><?xml version="1.0" encoding="utf-8"?>
<sst xmlns="http://schemas.openxmlformats.org/spreadsheetml/2006/main" count="105" uniqueCount="91">
  <si>
    <t>RIVN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</si>
  <si>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</si>
  <si>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</si>
  <si>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</si>
  <si>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</si>
  <si>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</si>
  <si>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</si>
  <si>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</si>
  <si>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</si>
  <si>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</si>
  <si>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</si>
  <si>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 8K</t>
  </si>
  <si>
    <t>Q424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</si>
  <si>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</si>
  <si>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</si>
  <si>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</si>
  <si>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</si>
  <si>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</si>
  <si>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</si>
  <si>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</si>
  <si>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</si>
  <si>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</si>
  <si>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</si>
  <si>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</si>
  <si>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</si>
  <si>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</si>
  <si>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</si>
  <si>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</si>
  <si>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Gross profit</t>
  </si>
  <si>
    <t>Automotive</t>
  </si>
  <si>
    <t>Software &amp; services</t>
  </si>
  <si>
    <t>Total revenue</t>
  </si>
  <si>
    <t>R&amp;D</t>
  </si>
  <si>
    <t>SG&amp;A</t>
  </si>
  <si>
    <t>Operating profit</t>
  </si>
  <si>
    <t>Interest income</t>
  </si>
  <si>
    <t>Interest expense</t>
  </si>
  <si>
    <t>Finance income</t>
  </si>
  <si>
    <t>Other income</t>
  </si>
  <si>
    <t>Total other income</t>
  </si>
  <si>
    <t>Pretax profit</t>
  </si>
  <si>
    <t>Taxes</t>
  </si>
  <si>
    <t>Net profit</t>
  </si>
  <si>
    <t>EPS</t>
  </si>
  <si>
    <t>Automotive cost</t>
  </si>
  <si>
    <t>Software cost</t>
  </si>
  <si>
    <t>Total cost of sales</t>
  </si>
  <si>
    <t>MI</t>
  </si>
  <si>
    <t>Revenue y/y</t>
  </si>
  <si>
    <t>Gross Margin</t>
  </si>
  <si>
    <t>R&amp;D y/y</t>
  </si>
  <si>
    <t>SG&amp;A Margin</t>
  </si>
  <si>
    <t>Net Margin</t>
  </si>
  <si>
    <t>Operating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</si>
  <si>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</si>
  <si>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</si>
  <si>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</si>
  <si>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</si>
  <si>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</si>
  <si>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</si>
  <si>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</si>
  <si>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</si>
  <si>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</si>
  <si>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Investments</t>
  </si>
  <si>
    <t>A/R</t>
  </si>
  <si>
    <t>Inventories</t>
  </si>
  <si>
    <t>OCA</t>
  </si>
  <si>
    <t>Current assets</t>
  </si>
  <si>
    <t>PP&amp;E</t>
  </si>
  <si>
    <t>Leases</t>
  </si>
  <si>
    <t>ONCA</t>
  </si>
  <si>
    <t>Non-current assets</t>
  </si>
  <si>
    <t>A/P</t>
  </si>
  <si>
    <t>A/L</t>
  </si>
  <si>
    <t>D/R</t>
  </si>
  <si>
    <t>Current liabilities</t>
  </si>
  <si>
    <t>ONCL</t>
  </si>
  <si>
    <t>Non-current liabilities</t>
  </si>
  <si>
    <t>S/E</t>
  </si>
  <si>
    <t>L+S/E</t>
  </si>
  <si>
    <t>Total assets</t>
  </si>
  <si>
    <t>Net income</t>
  </si>
  <si>
    <t>D&amp;A</t>
  </si>
  <si>
    <t>SBC</t>
  </si>
  <si>
    <t>Loss on notes</t>
  </si>
  <si>
    <t>Other non-cash</t>
  </si>
  <si>
    <t>Other assets</t>
  </si>
  <si>
    <t>Other liabilities</t>
  </si>
  <si>
    <t>CFFO</t>
  </si>
  <si>
    <t>FCF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</si>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</sst>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0" fillId="2" borderId="0" xfId="0" applyNumberFormat="1" applyFill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0</xdr:row>
      <xdr:rowOff>7620</xdr:rowOff>
    </xdr:from>
    <xdr:to>
      <xdr:col>14</xdr:col>
      <xdr:colOff>22860</xdr:colOff>
      <xdr:row>83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D29758-5FD5-FE8F-2A98-4E4A622E2188}"/>
            </a:ext>
          </a:extLst>
        </xdr:cNvPr>
        <xdr:cNvCxnSpPr/>
      </xdr:nvCxnSpPr>
      <xdr:spPr>
        <a:xfrm>
          <a:off x="9265920" y="7620"/>
          <a:ext cx="0" cy="1527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</xdr:colOff>
      <xdr:row>0</xdr:row>
      <xdr:rowOff>15240</xdr:rowOff>
    </xdr:from>
    <xdr:to>
      <xdr:col>25</xdr:col>
      <xdr:colOff>30480</xdr:colOff>
      <xdr:row>83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103F26-F132-AD84-7943-B5FCC5CDC2F3}"/>
            </a:ext>
          </a:extLst>
        </xdr:cNvPr>
        <xdr:cNvCxnSpPr/>
      </xdr:nvCxnSpPr>
      <xdr:spPr>
        <a:xfrm>
          <a:off x="15979140" y="15240"/>
          <a:ext cx="0" cy="1527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8E1A-575F-445D-90C2-CF9A145194D3}">
  <dimension ref="B2:G9"/>
  <sheetViews>
    <sheetView workbookViewId="0">
      <selection activeCell="E4" sqref="E4"/>
    </sheetView>
  </sheetViews>
  <sheetFormatPr defaultRowHeight="14.4" x14ac:dyDescent="0.3"/>
  <cols>
    <col min="5" max="7" width="14.664062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12">
        <v>11.96</v>
      </c>
      <c r="E3" s="3">
        <v>45713</v>
      </c>
      <c r="F3" s="3">
        <f ca="1">TODAY()</f>
        <v>45771</v>
      </c>
      <c r="G3" s="3">
        <v>45790</v>
      </c>
    </row>
    <row r="4" spans="2:7" x14ac:dyDescent="0.3">
      <c r="C4" t="s">
        <v>2</v>
      </c>
      <c r="D4" s="4">
        <v>1058</v>
      </c>
      <c r="E4" s="2" t="s">
        <v>11</v>
      </c>
    </row>
    <row r="5" spans="2:7" x14ac:dyDescent="0.3">
      <c r="C5" t="s">
        <v>3</v>
      </c>
      <c r="D5" s="4">
        <f>D3*D4</f>
        <v>12653.68</v>
      </c>
    </row>
    <row r="6" spans="2:7" x14ac:dyDescent="0.3">
      <c r="C6" t="s">
        <v>4</v>
      </c>
      <c r="D6" s="4">
        <f>5294+2406</f>
        <v>7700</v>
      </c>
      <c r="E6" s="2" t="s">
        <v>12</v>
      </c>
    </row>
    <row r="7" spans="2:7" x14ac:dyDescent="0.3">
      <c r="C7" t="s">
        <v>5</v>
      </c>
      <c r="D7" s="4">
        <v>4441</v>
      </c>
      <c r="E7" s="2" t="s">
        <v>12</v>
      </c>
    </row>
    <row r="8" spans="2:7" x14ac:dyDescent="0.3">
      <c r="C8" t="s">
        <v>6</v>
      </c>
      <c r="D8" s="4">
        <f>D6-D7</f>
        <v>3259</v>
      </c>
    </row>
    <row r="9" spans="2:7" x14ac:dyDescent="0.3">
      <c r="C9" t="s">
        <v>7</v>
      </c>
      <c r="D9" s="4">
        <f>D5-D8</f>
        <v>9394.68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D89C-980A-401A-89E6-595EDF92B56B}">
  <dimension ref="B2:EJ78"/>
  <sheetViews>
    <sheetView tabSelected="1" workbookViewId="0">
      <pane xSplit="2" ySplit="2" topLeftCell="X56" activePane="bottomRight" state="frozen"/>
      <selection pane="topRight" activeCell="C1" sqref="C1"/>
      <selection pane="bottomLeft" activeCell="A3" sqref="A3"/>
      <selection pane="bottomRight" activeCell="AN34" sqref="AN34"/>
    </sheetView>
  </sheetViews>
  <sheetFormatPr defaultRowHeight="14.4" x14ac:dyDescent="0.3"/>
  <cols>
    <col min="2" max="2" width="19.21875" bestFit="1" customWidth="1"/>
    <col min="39" max="39" width="11.88671875" bestFit="1" customWidth="1"/>
    <col min="40" max="40" width="16.44140625" bestFit="1" customWidth="1"/>
  </cols>
  <sheetData>
    <row r="2" spans="2:36" x14ac:dyDescent="0.3"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12</v>
      </c>
      <c r="O2" s="5" t="s">
        <v>24</v>
      </c>
      <c r="P2" s="5" t="s">
        <v>25</v>
      </c>
      <c r="Q2" s="5" t="s">
        <v>26</v>
      </c>
      <c r="R2" s="5" t="s">
        <v>27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36" x14ac:dyDescent="0.3">
      <c r="B3" t="s">
        <v>29</v>
      </c>
      <c r="C3" s="5"/>
      <c r="D3" s="5"/>
      <c r="E3" s="5"/>
      <c r="F3" s="5"/>
      <c r="G3" s="5"/>
      <c r="H3" s="5"/>
      <c r="I3" s="5"/>
      <c r="J3" s="7">
        <v>1208</v>
      </c>
      <c r="K3" s="5"/>
      <c r="L3" s="5"/>
      <c r="M3" s="5"/>
      <c r="N3" s="7">
        <v>1520</v>
      </c>
      <c r="O3" s="5"/>
      <c r="P3" s="5"/>
      <c r="Q3" s="5"/>
      <c r="R3" s="5"/>
    </row>
    <row r="4" spans="2:36" x14ac:dyDescent="0.3">
      <c r="B4" t="s">
        <v>30</v>
      </c>
      <c r="C4" s="5"/>
      <c r="D4" s="5"/>
      <c r="E4" s="5"/>
      <c r="F4" s="5"/>
      <c r="G4" s="5"/>
      <c r="H4" s="5"/>
      <c r="I4" s="5"/>
      <c r="J4" s="7">
        <v>107</v>
      </c>
      <c r="K4" s="5"/>
      <c r="L4" s="5"/>
      <c r="M4" s="5"/>
      <c r="N4" s="7">
        <v>214</v>
      </c>
      <c r="O4" s="5"/>
      <c r="P4" s="5"/>
      <c r="Q4" s="5"/>
      <c r="R4" s="5"/>
    </row>
    <row r="5" spans="2:36" s="1" customFormat="1" x14ac:dyDescent="0.3">
      <c r="B5" s="1" t="s">
        <v>31</v>
      </c>
      <c r="G5" s="8">
        <v>661</v>
      </c>
      <c r="H5" s="8">
        <v>1121</v>
      </c>
      <c r="I5" s="8">
        <v>1337</v>
      </c>
      <c r="J5" s="8">
        <f>J3+J4</f>
        <v>1315</v>
      </c>
      <c r="K5" s="8">
        <v>1204</v>
      </c>
      <c r="L5" s="8">
        <v>1158</v>
      </c>
      <c r="M5" s="8">
        <v>874</v>
      </c>
      <c r="N5" s="8">
        <f>N3+N4</f>
        <v>1734</v>
      </c>
      <c r="O5" s="8">
        <f>K5*1.1</f>
        <v>1324.4</v>
      </c>
      <c r="P5" s="8">
        <f>L5*1.15</f>
        <v>1331.6999999999998</v>
      </c>
      <c r="Q5" s="8">
        <f>M5*1.6</f>
        <v>1398.4</v>
      </c>
      <c r="R5" s="8">
        <f>N5*1.2</f>
        <v>2080.7999999999997</v>
      </c>
      <c r="U5" s="8">
        <v>0</v>
      </c>
      <c r="V5" s="8">
        <v>55</v>
      </c>
      <c r="W5" s="8">
        <v>1658</v>
      </c>
      <c r="X5" s="8">
        <f>SUM(G5:J5)</f>
        <v>4434</v>
      </c>
      <c r="Y5" s="8">
        <f>SUM(K5:N5)</f>
        <v>4970</v>
      </c>
      <c r="Z5" s="8">
        <f>SUM(O5:R5)</f>
        <v>6135.2999999999993</v>
      </c>
      <c r="AA5" s="8">
        <f>Z5*1.4</f>
        <v>8589.4199999999983</v>
      </c>
      <c r="AB5" s="8">
        <f>AA5*1.2</f>
        <v>10307.303999999998</v>
      </c>
      <c r="AC5" s="8">
        <f>AB5*1.15</f>
        <v>11853.399599999997</v>
      </c>
      <c r="AD5" s="8">
        <f>AC5*1.12</f>
        <v>13275.807551999998</v>
      </c>
      <c r="AE5" s="8">
        <f>AD5*1.1</f>
        <v>14603.388307199999</v>
      </c>
      <c r="AF5" s="8">
        <f>AE5*1.08</f>
        <v>15771.659371776001</v>
      </c>
      <c r="AG5" s="8">
        <f>AF5*1.06</f>
        <v>16717.958934082562</v>
      </c>
      <c r="AH5" s="8">
        <f>AG5*1.05</f>
        <v>17553.85688078669</v>
      </c>
      <c r="AI5" s="8">
        <f t="shared" ref="AI5:AJ5" si="0">AH5*1.05</f>
        <v>18431.549724826025</v>
      </c>
      <c r="AJ5" s="8">
        <f t="shared" si="0"/>
        <v>19353.127211067327</v>
      </c>
    </row>
    <row r="6" spans="2:36" x14ac:dyDescent="0.3">
      <c r="B6" t="s">
        <v>44</v>
      </c>
      <c r="G6" s="4"/>
      <c r="H6" s="4"/>
      <c r="I6" s="4"/>
      <c r="J6" s="4">
        <v>1819</v>
      </c>
      <c r="K6" s="4"/>
      <c r="L6" s="4"/>
      <c r="M6" s="4"/>
      <c r="N6" s="4">
        <v>1410</v>
      </c>
      <c r="O6" s="4"/>
      <c r="P6" s="4"/>
      <c r="Q6" s="4"/>
      <c r="R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2:36" x14ac:dyDescent="0.3">
      <c r="B7" t="s">
        <v>45</v>
      </c>
      <c r="G7" s="7"/>
      <c r="H7" s="7"/>
      <c r="I7" s="7"/>
      <c r="J7" s="7">
        <v>102</v>
      </c>
      <c r="K7" s="7"/>
      <c r="L7" s="7"/>
      <c r="M7" s="7"/>
      <c r="N7" s="7">
        <v>154</v>
      </c>
      <c r="O7" s="4"/>
      <c r="P7" s="4"/>
      <c r="Q7" s="4"/>
      <c r="R7" s="4"/>
      <c r="U7" s="7"/>
      <c r="V7" s="7"/>
      <c r="W7" s="7"/>
      <c r="X7" s="7"/>
      <c r="Y7" s="7"/>
      <c r="Z7" s="7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2:36" x14ac:dyDescent="0.3">
      <c r="B8" t="s">
        <v>46</v>
      </c>
      <c r="G8" s="7">
        <v>1196</v>
      </c>
      <c r="H8" s="7">
        <v>1533</v>
      </c>
      <c r="I8" s="7">
        <v>1814</v>
      </c>
      <c r="J8" s="7">
        <f>J6+J7</f>
        <v>1921</v>
      </c>
      <c r="K8" s="7">
        <v>1731</v>
      </c>
      <c r="L8" s="7">
        <v>1609</v>
      </c>
      <c r="M8" s="7">
        <v>1266</v>
      </c>
      <c r="N8" s="7">
        <f>N6+N7</f>
        <v>1564</v>
      </c>
      <c r="O8" s="4">
        <f>O5*0.9</f>
        <v>1191.96</v>
      </c>
      <c r="P8" s="4">
        <f t="shared" ref="P8:R8" si="1">P5*0.9</f>
        <v>1198.53</v>
      </c>
      <c r="Q8" s="4">
        <f t="shared" si="1"/>
        <v>1258.5600000000002</v>
      </c>
      <c r="R8" s="4">
        <f t="shared" si="1"/>
        <v>1872.7199999999998</v>
      </c>
      <c r="U8" s="4">
        <v>0</v>
      </c>
      <c r="V8" s="4">
        <v>520</v>
      </c>
      <c r="W8" s="4">
        <v>4781</v>
      </c>
      <c r="X8" s="4">
        <f>SUM(G8:J8)</f>
        <v>6464</v>
      </c>
      <c r="Y8" s="4">
        <f>SUM(K8:N8)</f>
        <v>6170</v>
      </c>
      <c r="Z8" s="4">
        <f>SUM(O8:R8)</f>
        <v>5521.77</v>
      </c>
      <c r="AA8" s="4">
        <f>AA5-AA9</f>
        <v>7558.6895999999988</v>
      </c>
      <c r="AB8" s="4">
        <f t="shared" ref="AB8:AJ8" si="2">AB5-AB9</f>
        <v>8864.2814399999988</v>
      </c>
      <c r="AC8" s="4">
        <f t="shared" si="2"/>
        <v>9956.855663999997</v>
      </c>
      <c r="AD8" s="4">
        <f t="shared" si="2"/>
        <v>10886.162192639998</v>
      </c>
      <c r="AE8" s="4">
        <f t="shared" si="2"/>
        <v>11828.744528832</v>
      </c>
      <c r="AF8" s="4">
        <f t="shared" si="2"/>
        <v>12617.3274974208</v>
      </c>
      <c r="AG8" s="4">
        <f t="shared" si="2"/>
        <v>13374.36714726605</v>
      </c>
      <c r="AH8" s="4">
        <f t="shared" si="2"/>
        <v>14043.085504629353</v>
      </c>
      <c r="AI8" s="4">
        <f t="shared" si="2"/>
        <v>14745.23977986082</v>
      </c>
      <c r="AJ8" s="4">
        <f t="shared" si="2"/>
        <v>15482.501768853861</v>
      </c>
    </row>
    <row r="9" spans="2:36" s="1" customFormat="1" x14ac:dyDescent="0.3">
      <c r="B9" s="1" t="s">
        <v>28</v>
      </c>
      <c r="G9" s="8">
        <f t="shared" ref="G9:N9" si="3">G5-G8</f>
        <v>-535</v>
      </c>
      <c r="H9" s="8">
        <f t="shared" si="3"/>
        <v>-412</v>
      </c>
      <c r="I9" s="8">
        <f t="shared" si="3"/>
        <v>-477</v>
      </c>
      <c r="J9" s="8">
        <f t="shared" si="3"/>
        <v>-606</v>
      </c>
      <c r="K9" s="8">
        <f t="shared" si="3"/>
        <v>-527</v>
      </c>
      <c r="L9" s="8">
        <f t="shared" si="3"/>
        <v>-451</v>
      </c>
      <c r="M9" s="8">
        <f t="shared" si="3"/>
        <v>-392</v>
      </c>
      <c r="N9" s="8">
        <f t="shared" si="3"/>
        <v>170</v>
      </c>
      <c r="O9" s="8">
        <f t="shared" ref="O9:R9" si="4">O5-O8</f>
        <v>132.44000000000005</v>
      </c>
      <c r="P9" s="8">
        <f t="shared" si="4"/>
        <v>133.16999999999985</v>
      </c>
      <c r="Q9" s="8">
        <f t="shared" si="4"/>
        <v>139.83999999999992</v>
      </c>
      <c r="R9" s="8">
        <f t="shared" si="4"/>
        <v>208.07999999999993</v>
      </c>
      <c r="U9" s="8">
        <f t="shared" ref="U9:Z9" si="5">U5-U8</f>
        <v>0</v>
      </c>
      <c r="V9" s="8">
        <f t="shared" si="5"/>
        <v>-465</v>
      </c>
      <c r="W9" s="8">
        <f t="shared" si="5"/>
        <v>-3123</v>
      </c>
      <c r="X9" s="8">
        <f t="shared" si="5"/>
        <v>-2030</v>
      </c>
      <c r="Y9" s="8">
        <f t="shared" si="5"/>
        <v>-1200</v>
      </c>
      <c r="Z9" s="8">
        <f t="shared" si="5"/>
        <v>613.52999999999884</v>
      </c>
      <c r="AA9" s="8">
        <f>AA5*0.12</f>
        <v>1030.7303999999997</v>
      </c>
      <c r="AB9" s="8">
        <f>AB5*0.14</f>
        <v>1443.0225599999999</v>
      </c>
      <c r="AC9" s="8">
        <f>AC5*0.16</f>
        <v>1896.5439359999996</v>
      </c>
      <c r="AD9" s="8">
        <f>AD5*0.18</f>
        <v>2389.6453593599995</v>
      </c>
      <c r="AE9" s="8">
        <f>AE5*0.19</f>
        <v>2774.6437783679999</v>
      </c>
      <c r="AF9" s="8">
        <f>AF5*0.2</f>
        <v>3154.3318743552004</v>
      </c>
      <c r="AG9" s="8">
        <f t="shared" ref="AG9:AJ9" si="6">AG5*0.2</f>
        <v>3343.5917868165125</v>
      </c>
      <c r="AH9" s="8">
        <f t="shared" si="6"/>
        <v>3510.7713761573382</v>
      </c>
      <c r="AI9" s="8">
        <f t="shared" si="6"/>
        <v>3686.3099449652054</v>
      </c>
      <c r="AJ9" s="8">
        <f t="shared" si="6"/>
        <v>3870.6254422134657</v>
      </c>
    </row>
    <row r="10" spans="2:36" x14ac:dyDescent="0.3">
      <c r="B10" t="s">
        <v>32</v>
      </c>
      <c r="G10" s="4">
        <v>496</v>
      </c>
      <c r="H10" s="4">
        <v>444</v>
      </c>
      <c r="I10" s="4">
        <v>529</v>
      </c>
      <c r="J10" s="4">
        <v>526</v>
      </c>
      <c r="K10" s="4">
        <v>461</v>
      </c>
      <c r="L10" s="4">
        <v>428</v>
      </c>
      <c r="M10" s="4">
        <v>350</v>
      </c>
      <c r="N10" s="4">
        <v>374</v>
      </c>
      <c r="O10" s="4">
        <f>N10*0.9</f>
        <v>336.6</v>
      </c>
      <c r="P10" s="4">
        <f t="shared" ref="P10" si="7">O10*1.05</f>
        <v>353.43000000000006</v>
      </c>
      <c r="Q10" s="4">
        <f>P10*1.05</f>
        <v>371.1015000000001</v>
      </c>
      <c r="R10" s="4">
        <f>Q10*1.05</f>
        <v>389.65657500000015</v>
      </c>
      <c r="U10" s="4">
        <v>766</v>
      </c>
      <c r="V10" s="4">
        <v>1850</v>
      </c>
      <c r="W10" s="4">
        <v>1944</v>
      </c>
      <c r="X10" s="4">
        <f>SUM(G10:J10)</f>
        <v>1995</v>
      </c>
      <c r="Y10" s="4">
        <f>SUM(K10:N10)</f>
        <v>1613</v>
      </c>
      <c r="Z10" s="4">
        <f>SUM(O10:R10)</f>
        <v>1450.7880750000004</v>
      </c>
      <c r="AA10" s="4">
        <f>Z10*1.04</f>
        <v>1508.8195980000005</v>
      </c>
      <c r="AB10" s="4">
        <f>AA10*1.03</f>
        <v>1554.0841859400005</v>
      </c>
      <c r="AC10" s="4">
        <f>AB10*1.02</f>
        <v>1585.1658696588006</v>
      </c>
      <c r="AD10" s="4">
        <f t="shared" ref="AD10" si="8">AC10*1.02</f>
        <v>1616.8691870519767</v>
      </c>
      <c r="AE10" s="4">
        <f>AD10*1.01</f>
        <v>1633.0378789224965</v>
      </c>
      <c r="AF10" s="4">
        <f t="shared" ref="AF10:AJ11" si="9">AE10*1.01</f>
        <v>1649.3682577117215</v>
      </c>
      <c r="AG10" s="4">
        <f t="shared" si="9"/>
        <v>1665.8619402888387</v>
      </c>
      <c r="AH10" s="4">
        <f t="shared" si="9"/>
        <v>1682.5205596917272</v>
      </c>
      <c r="AI10" s="4">
        <f t="shared" si="9"/>
        <v>1699.3457652886445</v>
      </c>
      <c r="AJ10" s="4">
        <f t="shared" si="9"/>
        <v>1716.339222941531</v>
      </c>
    </row>
    <row r="11" spans="2:36" x14ac:dyDescent="0.3">
      <c r="B11" t="s">
        <v>33</v>
      </c>
      <c r="G11" s="4">
        <v>402</v>
      </c>
      <c r="H11" s="4">
        <v>429</v>
      </c>
      <c r="I11" s="4">
        <v>434</v>
      </c>
      <c r="J11" s="4">
        <v>449</v>
      </c>
      <c r="K11" s="4">
        <v>496</v>
      </c>
      <c r="L11" s="4">
        <v>496</v>
      </c>
      <c r="M11" s="4">
        <v>427</v>
      </c>
      <c r="N11" s="4">
        <v>457</v>
      </c>
      <c r="O11" s="4">
        <f>N11*1.04</f>
        <v>475.28000000000003</v>
      </c>
      <c r="P11" s="4">
        <f>O11*1.03</f>
        <v>489.53840000000002</v>
      </c>
      <c r="Q11" s="4">
        <f>P11*1.02</f>
        <v>499.32916800000004</v>
      </c>
      <c r="R11" s="4">
        <f>Q11*1.01</f>
        <v>504.32245968000007</v>
      </c>
      <c r="U11" s="4">
        <v>255</v>
      </c>
      <c r="V11" s="4">
        <f>1242+662</f>
        <v>1904</v>
      </c>
      <c r="W11" s="4">
        <v>1789</v>
      </c>
      <c r="X11" s="4">
        <f>SUM(G11:J11)</f>
        <v>1714</v>
      </c>
      <c r="Y11" s="4">
        <f>SUM(K11:N11)</f>
        <v>1876</v>
      </c>
      <c r="Z11" s="4">
        <f>SUM(O11:R11)</f>
        <v>1968.4700276800002</v>
      </c>
      <c r="AA11" s="4">
        <f>Z11*1.03</f>
        <v>2027.5241285104003</v>
      </c>
      <c r="AB11" s="4">
        <f>AA11*1.02</f>
        <v>2068.0746110806085</v>
      </c>
      <c r="AC11" s="4">
        <f>AB11*1.01</f>
        <v>2088.7553571914145</v>
      </c>
      <c r="AD11" s="4">
        <f t="shared" ref="AD11:AE11" si="10">AC11*1.01</f>
        <v>2109.6429107633285</v>
      </c>
      <c r="AE11" s="4">
        <f t="shared" si="10"/>
        <v>2130.7393398709619</v>
      </c>
      <c r="AF11" s="4">
        <f t="shared" si="9"/>
        <v>2152.0467332696717</v>
      </c>
      <c r="AG11" s="4">
        <f t="shared" si="9"/>
        <v>2173.5672006023683</v>
      </c>
      <c r="AH11" s="4">
        <f t="shared" si="9"/>
        <v>2195.3028726083921</v>
      </c>
      <c r="AI11" s="4">
        <f t="shared" si="9"/>
        <v>2217.2559013344762</v>
      </c>
      <c r="AJ11" s="4">
        <f t="shared" si="9"/>
        <v>2239.4284603478209</v>
      </c>
    </row>
    <row r="12" spans="2:36" s="1" customFormat="1" x14ac:dyDescent="0.3">
      <c r="B12" s="1" t="s">
        <v>34</v>
      </c>
      <c r="G12" s="8">
        <f t="shared" ref="G12:N12" si="11">G9-G10-G11</f>
        <v>-1433</v>
      </c>
      <c r="H12" s="8">
        <f t="shared" si="11"/>
        <v>-1285</v>
      </c>
      <c r="I12" s="8">
        <f t="shared" si="11"/>
        <v>-1440</v>
      </c>
      <c r="J12" s="8">
        <f t="shared" si="11"/>
        <v>-1581</v>
      </c>
      <c r="K12" s="8">
        <f t="shared" si="11"/>
        <v>-1484</v>
      </c>
      <c r="L12" s="8">
        <f t="shared" si="11"/>
        <v>-1375</v>
      </c>
      <c r="M12" s="8">
        <f t="shared" si="11"/>
        <v>-1169</v>
      </c>
      <c r="N12" s="8">
        <f t="shared" si="11"/>
        <v>-661</v>
      </c>
      <c r="O12" s="8">
        <f t="shared" ref="O12:R12" si="12">O9-O10-O11</f>
        <v>-679.44</v>
      </c>
      <c r="P12" s="8">
        <f t="shared" si="12"/>
        <v>-709.79840000000024</v>
      </c>
      <c r="Q12" s="8">
        <f t="shared" si="12"/>
        <v>-730.59066800000028</v>
      </c>
      <c r="R12" s="8">
        <f t="shared" si="12"/>
        <v>-685.89903468000034</v>
      </c>
      <c r="U12" s="8">
        <f t="shared" ref="U12:Z12" si="13">U9-U10-U11</f>
        <v>-1021</v>
      </c>
      <c r="V12" s="8">
        <f t="shared" si="13"/>
        <v>-4219</v>
      </c>
      <c r="W12" s="8">
        <f t="shared" si="13"/>
        <v>-6856</v>
      </c>
      <c r="X12" s="8">
        <f t="shared" si="13"/>
        <v>-5739</v>
      </c>
      <c r="Y12" s="8">
        <f t="shared" si="13"/>
        <v>-4689</v>
      </c>
      <c r="Z12" s="8">
        <f t="shared" si="13"/>
        <v>-2805.7281026800019</v>
      </c>
      <c r="AA12" s="8">
        <f t="shared" ref="AA12:AJ12" si="14">AA9-AA10-AA11</f>
        <v>-2505.6133265104008</v>
      </c>
      <c r="AB12" s="8">
        <f t="shared" si="14"/>
        <v>-2179.1362370206089</v>
      </c>
      <c r="AC12" s="8">
        <f t="shared" si="14"/>
        <v>-1777.3772908502156</v>
      </c>
      <c r="AD12" s="8">
        <f t="shared" si="14"/>
        <v>-1336.8667384553057</v>
      </c>
      <c r="AE12" s="8">
        <f t="shared" si="14"/>
        <v>-989.1334404254585</v>
      </c>
      <c r="AF12" s="8">
        <f t="shared" si="14"/>
        <v>-647.0831166261928</v>
      </c>
      <c r="AG12" s="8">
        <f t="shared" si="14"/>
        <v>-495.83735407469453</v>
      </c>
      <c r="AH12" s="8">
        <f t="shared" si="14"/>
        <v>-367.05205614278111</v>
      </c>
      <c r="AI12" s="8">
        <f t="shared" si="14"/>
        <v>-230.29172165791533</v>
      </c>
      <c r="AJ12" s="8">
        <f t="shared" si="14"/>
        <v>-85.142241075885977</v>
      </c>
    </row>
    <row r="13" spans="2:36" x14ac:dyDescent="0.3">
      <c r="B13" t="s">
        <v>35</v>
      </c>
      <c r="G13" s="4">
        <v>-124</v>
      </c>
      <c r="H13" s="4">
        <v>-141</v>
      </c>
      <c r="I13" s="4">
        <v>-126</v>
      </c>
      <c r="J13" s="4">
        <v>-131</v>
      </c>
      <c r="K13" s="4">
        <v>-112</v>
      </c>
      <c r="L13" s="4">
        <v>-95</v>
      </c>
      <c r="M13" s="4">
        <v>-95</v>
      </c>
      <c r="N13" s="4">
        <v>-83</v>
      </c>
      <c r="O13" s="4">
        <f>K13*1.03</f>
        <v>-115.36</v>
      </c>
      <c r="P13" s="4">
        <f t="shared" ref="P13:R13" si="15">L13*1.03</f>
        <v>-97.850000000000009</v>
      </c>
      <c r="Q13" s="4">
        <f t="shared" si="15"/>
        <v>-97.850000000000009</v>
      </c>
      <c r="R13" s="4">
        <f t="shared" si="15"/>
        <v>-85.490000000000009</v>
      </c>
      <c r="U13" s="4">
        <v>-10</v>
      </c>
      <c r="V13" s="4">
        <v>-3</v>
      </c>
      <c r="W13" s="4">
        <v>-193</v>
      </c>
      <c r="X13" s="4">
        <f>SUM(G13:J13)</f>
        <v>-522</v>
      </c>
      <c r="Y13" s="4">
        <f>SUM(K13:N13)</f>
        <v>-385</v>
      </c>
      <c r="Z13" s="4">
        <f>SUM(O13:R13)</f>
        <v>-396.55</v>
      </c>
      <c r="AA13" s="4">
        <f>Z13*1.03</f>
        <v>-408.44650000000001</v>
      </c>
      <c r="AB13" s="4">
        <f t="shared" ref="AB13:AJ13" si="16">AA13*1.03</f>
        <v>-420.69989500000003</v>
      </c>
      <c r="AC13" s="4">
        <f t="shared" si="16"/>
        <v>-433.32089185000007</v>
      </c>
      <c r="AD13" s="4">
        <f t="shared" si="16"/>
        <v>-446.32051860550007</v>
      </c>
      <c r="AE13" s="4">
        <f t="shared" si="16"/>
        <v>-459.71013416366509</v>
      </c>
      <c r="AF13" s="4">
        <f t="shared" si="16"/>
        <v>-473.50143818857504</v>
      </c>
      <c r="AG13" s="4">
        <f t="shared" si="16"/>
        <v>-487.70648133423231</v>
      </c>
      <c r="AH13" s="4">
        <f t="shared" si="16"/>
        <v>-502.33767577425931</v>
      </c>
      <c r="AI13" s="4">
        <f t="shared" si="16"/>
        <v>-517.40780604748716</v>
      </c>
      <c r="AJ13" s="4">
        <f t="shared" si="16"/>
        <v>-532.93004022891182</v>
      </c>
    </row>
    <row r="14" spans="2:36" x14ac:dyDescent="0.3">
      <c r="B14" t="s">
        <v>36</v>
      </c>
      <c r="G14" s="4">
        <v>38</v>
      </c>
      <c r="H14" s="4">
        <v>54</v>
      </c>
      <c r="I14" s="4">
        <v>55</v>
      </c>
      <c r="J14" s="4">
        <v>73</v>
      </c>
      <c r="K14" s="4">
        <v>75</v>
      </c>
      <c r="L14" s="4">
        <v>75</v>
      </c>
      <c r="M14" s="4">
        <v>87</v>
      </c>
      <c r="N14" s="4">
        <v>81</v>
      </c>
      <c r="O14" s="4">
        <v>82</v>
      </c>
      <c r="P14" s="4">
        <v>82</v>
      </c>
      <c r="Q14" s="4">
        <v>82</v>
      </c>
      <c r="R14" s="4">
        <v>82</v>
      </c>
      <c r="U14" s="4">
        <v>8</v>
      </c>
      <c r="V14" s="4">
        <v>29</v>
      </c>
      <c r="W14" s="4">
        <v>103</v>
      </c>
      <c r="X14" s="4">
        <f>SUM(G14:J14)</f>
        <v>220</v>
      </c>
      <c r="Y14" s="4">
        <f>SUM(K14:N14)</f>
        <v>318</v>
      </c>
      <c r="Z14" s="4">
        <f>SUM(O14:R14)</f>
        <v>328</v>
      </c>
      <c r="AA14" s="4">
        <f>Z14*1.02</f>
        <v>334.56</v>
      </c>
      <c r="AB14" s="4">
        <f t="shared" ref="AB14:AJ14" si="17">AA14*1.02</f>
        <v>341.25119999999998</v>
      </c>
      <c r="AC14" s="4">
        <f t="shared" si="17"/>
        <v>348.07622399999997</v>
      </c>
      <c r="AD14" s="4">
        <f t="shared" si="17"/>
        <v>355.03774847999995</v>
      </c>
      <c r="AE14" s="4">
        <f t="shared" si="17"/>
        <v>362.13850344959997</v>
      </c>
      <c r="AF14" s="4">
        <f t="shared" si="17"/>
        <v>369.38127351859197</v>
      </c>
      <c r="AG14" s="4">
        <f t="shared" si="17"/>
        <v>376.76889898896383</v>
      </c>
      <c r="AH14" s="4">
        <f t="shared" si="17"/>
        <v>384.30427696874312</v>
      </c>
      <c r="AI14" s="4">
        <f t="shared" si="17"/>
        <v>391.99036250811798</v>
      </c>
      <c r="AJ14" s="4">
        <f t="shared" si="17"/>
        <v>399.83016975828036</v>
      </c>
    </row>
    <row r="15" spans="2:36" x14ac:dyDescent="0.3">
      <c r="B15" t="s">
        <v>37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90</v>
      </c>
      <c r="M15" s="4">
        <v>-60</v>
      </c>
      <c r="N15" s="4">
        <v>82</v>
      </c>
      <c r="O15" s="4">
        <v>0</v>
      </c>
      <c r="P15" s="4">
        <v>0</v>
      </c>
      <c r="Q15" s="4">
        <v>0</v>
      </c>
      <c r="R15" s="4">
        <v>0</v>
      </c>
      <c r="U15" s="4">
        <v>0</v>
      </c>
      <c r="V15" s="4">
        <v>441</v>
      </c>
      <c r="W15" s="4">
        <v>0</v>
      </c>
      <c r="X15" s="4">
        <f>SUM(G15:J15)</f>
        <v>0</v>
      </c>
      <c r="Y15" s="4">
        <f>SUM(K15:N15)</f>
        <v>112</v>
      </c>
      <c r="Z15" s="4">
        <f>SUM(O15:R15)</f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</row>
    <row r="16" spans="2:36" x14ac:dyDescent="0.3">
      <c r="B16" t="s">
        <v>38</v>
      </c>
      <c r="G16" s="4">
        <v>1</v>
      </c>
      <c r="H16" s="4">
        <v>-3</v>
      </c>
      <c r="I16" s="4">
        <v>-2</v>
      </c>
      <c r="J16" s="4">
        <v>-2</v>
      </c>
      <c r="K16" s="4">
        <v>-2</v>
      </c>
      <c r="L16" s="4">
        <v>11</v>
      </c>
      <c r="M16" s="4">
        <v>-1</v>
      </c>
      <c r="N16" s="4">
        <v>-1</v>
      </c>
      <c r="O16" s="4">
        <v>0</v>
      </c>
      <c r="P16" s="4">
        <v>0</v>
      </c>
      <c r="Q16" s="4">
        <v>0</v>
      </c>
      <c r="R16" s="4">
        <v>0</v>
      </c>
      <c r="U16" s="4">
        <v>-1</v>
      </c>
      <c r="V16" s="4">
        <v>1</v>
      </c>
      <c r="W16" s="4">
        <v>-18</v>
      </c>
      <c r="X16" s="4">
        <f>SUM(G16:J16)</f>
        <v>-6</v>
      </c>
      <c r="Y16" s="4">
        <f>SUM(K16:N16)</f>
        <v>7</v>
      </c>
      <c r="Z16" s="4">
        <f>SUM(O16:R16)</f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</row>
    <row r="17" spans="2:136" x14ac:dyDescent="0.3">
      <c r="B17" t="s">
        <v>39</v>
      </c>
      <c r="G17" s="4">
        <f t="shared" ref="G17:N17" si="18">SUM(G13:G16)</f>
        <v>-85</v>
      </c>
      <c r="H17" s="4">
        <f t="shared" si="18"/>
        <v>-90</v>
      </c>
      <c r="I17" s="4">
        <f t="shared" si="18"/>
        <v>-73</v>
      </c>
      <c r="J17" s="4">
        <f t="shared" si="18"/>
        <v>-60</v>
      </c>
      <c r="K17" s="4">
        <f t="shared" si="18"/>
        <v>-39</v>
      </c>
      <c r="L17" s="4">
        <f t="shared" si="18"/>
        <v>81</v>
      </c>
      <c r="M17" s="4">
        <f t="shared" si="18"/>
        <v>-69</v>
      </c>
      <c r="N17" s="4">
        <f t="shared" si="18"/>
        <v>79</v>
      </c>
      <c r="O17" s="4">
        <f t="shared" ref="O17:R17" si="19">SUM(O13:O16)</f>
        <v>-33.36</v>
      </c>
      <c r="P17" s="4">
        <f t="shared" si="19"/>
        <v>-15.850000000000009</v>
      </c>
      <c r="Q17" s="4">
        <f t="shared" si="19"/>
        <v>-15.850000000000009</v>
      </c>
      <c r="R17" s="4">
        <f t="shared" si="19"/>
        <v>-3.4900000000000091</v>
      </c>
      <c r="U17" s="4">
        <f t="shared" ref="U17:AA17" si="20">SUM(U13:U16)</f>
        <v>-3</v>
      </c>
      <c r="V17" s="4">
        <f t="shared" si="20"/>
        <v>468</v>
      </c>
      <c r="W17" s="4">
        <f t="shared" si="20"/>
        <v>-108</v>
      </c>
      <c r="X17" s="4">
        <f t="shared" si="20"/>
        <v>-308</v>
      </c>
      <c r="Y17" s="4">
        <f t="shared" si="20"/>
        <v>52</v>
      </c>
      <c r="Z17" s="4">
        <f t="shared" si="20"/>
        <v>-68.550000000000011</v>
      </c>
      <c r="AA17" s="4">
        <f t="shared" si="20"/>
        <v>-73.886500000000012</v>
      </c>
      <c r="AB17" s="4">
        <f t="shared" ref="AB17:AJ17" si="21">SUM(AB13:AB16)</f>
        <v>-79.448695000000043</v>
      </c>
      <c r="AC17" s="4">
        <f t="shared" si="21"/>
        <v>-85.244667850000098</v>
      </c>
      <c r="AD17" s="4">
        <f t="shared" si="21"/>
        <v>-91.282770125500122</v>
      </c>
      <c r="AE17" s="4">
        <f t="shared" si="21"/>
        <v>-97.571630714065122</v>
      </c>
      <c r="AF17" s="4">
        <f t="shared" si="21"/>
        <v>-104.12016466998307</v>
      </c>
      <c r="AG17" s="4">
        <f t="shared" si="21"/>
        <v>-110.93758234526848</v>
      </c>
      <c r="AH17" s="4">
        <f t="shared" si="21"/>
        <v>-118.03339880551619</v>
      </c>
      <c r="AI17" s="4">
        <f t="shared" si="21"/>
        <v>-125.41744353936917</v>
      </c>
      <c r="AJ17" s="4">
        <f t="shared" si="21"/>
        <v>-133.09987047063146</v>
      </c>
    </row>
    <row r="18" spans="2:136" s="1" customFormat="1" x14ac:dyDescent="0.3">
      <c r="B18" s="1" t="s">
        <v>40</v>
      </c>
      <c r="G18" s="8">
        <f t="shared" ref="G18:N18" si="22">G12-G17</f>
        <v>-1348</v>
      </c>
      <c r="H18" s="8">
        <f t="shared" si="22"/>
        <v>-1195</v>
      </c>
      <c r="I18" s="8">
        <f t="shared" si="22"/>
        <v>-1367</v>
      </c>
      <c r="J18" s="8">
        <f t="shared" si="22"/>
        <v>-1521</v>
      </c>
      <c r="K18" s="8">
        <f t="shared" si="22"/>
        <v>-1445</v>
      </c>
      <c r="L18" s="8">
        <f t="shared" si="22"/>
        <v>-1456</v>
      </c>
      <c r="M18" s="8">
        <f t="shared" si="22"/>
        <v>-1100</v>
      </c>
      <c r="N18" s="8">
        <f t="shared" si="22"/>
        <v>-740</v>
      </c>
      <c r="O18" s="8">
        <f t="shared" ref="O18:R18" si="23">O12-O17</f>
        <v>-646.08000000000004</v>
      </c>
      <c r="P18" s="8">
        <f t="shared" si="23"/>
        <v>-693.94840000000022</v>
      </c>
      <c r="Q18" s="8">
        <f t="shared" si="23"/>
        <v>-714.74066800000026</v>
      </c>
      <c r="R18" s="8">
        <f t="shared" si="23"/>
        <v>-682.40903468000033</v>
      </c>
      <c r="U18" s="8">
        <f t="shared" ref="U18:AA18" si="24">U12-U17</f>
        <v>-1018</v>
      </c>
      <c r="V18" s="8">
        <f t="shared" si="24"/>
        <v>-4687</v>
      </c>
      <c r="W18" s="8">
        <f t="shared" si="24"/>
        <v>-6748</v>
      </c>
      <c r="X18" s="8">
        <f t="shared" si="24"/>
        <v>-5431</v>
      </c>
      <c r="Y18" s="8">
        <f t="shared" si="24"/>
        <v>-4741</v>
      </c>
      <c r="Z18" s="8">
        <f t="shared" si="24"/>
        <v>-2737.1781026800018</v>
      </c>
      <c r="AA18" s="8">
        <f t="shared" si="24"/>
        <v>-2431.7268265104008</v>
      </c>
      <c r="AB18" s="8">
        <f t="shared" ref="AB18:AJ18" si="25">AB12-AB17</f>
        <v>-2099.6875420206088</v>
      </c>
      <c r="AC18" s="8">
        <f t="shared" si="25"/>
        <v>-1692.1326230002155</v>
      </c>
      <c r="AD18" s="8">
        <f t="shared" si="25"/>
        <v>-1245.5839683298057</v>
      </c>
      <c r="AE18" s="8">
        <f t="shared" si="25"/>
        <v>-891.56180971139338</v>
      </c>
      <c r="AF18" s="8">
        <f t="shared" si="25"/>
        <v>-542.96295195620974</v>
      </c>
      <c r="AG18" s="8">
        <f t="shared" si="25"/>
        <v>-384.89977172942605</v>
      </c>
      <c r="AH18" s="8">
        <f t="shared" si="25"/>
        <v>-249.01865733726493</v>
      </c>
      <c r="AI18" s="8">
        <f t="shared" si="25"/>
        <v>-104.87427811854616</v>
      </c>
      <c r="AJ18" s="8">
        <f t="shared" si="25"/>
        <v>47.957629394745481</v>
      </c>
    </row>
    <row r="19" spans="2:136" x14ac:dyDescent="0.3">
      <c r="B19" t="s">
        <v>41</v>
      </c>
      <c r="G19" s="4">
        <v>1</v>
      </c>
      <c r="H19" s="4">
        <v>0</v>
      </c>
      <c r="I19" s="4">
        <v>0</v>
      </c>
      <c r="J19" s="4">
        <v>0</v>
      </c>
      <c r="K19" s="4">
        <v>1</v>
      </c>
      <c r="L19" s="4">
        <v>1</v>
      </c>
      <c r="M19" s="4">
        <v>0</v>
      </c>
      <c r="N19" s="4">
        <v>3</v>
      </c>
      <c r="O19" s="4">
        <v>0</v>
      </c>
      <c r="P19" s="4">
        <v>0</v>
      </c>
      <c r="Q19" s="4">
        <v>0</v>
      </c>
      <c r="R19" s="4">
        <v>0</v>
      </c>
      <c r="U19" s="4">
        <v>0</v>
      </c>
      <c r="V19" s="4">
        <v>0</v>
      </c>
      <c r="W19" s="4">
        <v>4</v>
      </c>
      <c r="X19" s="4">
        <f>SUM(G19:J19)</f>
        <v>1</v>
      </c>
      <c r="Y19" s="4">
        <f>SUM(K19:N19)</f>
        <v>5</v>
      </c>
      <c r="Z19" s="4">
        <f>SUM(O19:R19)</f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</row>
    <row r="20" spans="2:136" x14ac:dyDescent="0.3">
      <c r="B20" t="s">
        <v>47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U20" s="4">
        <v>0</v>
      </c>
      <c r="V20" s="4">
        <v>0</v>
      </c>
      <c r="W20" s="4">
        <v>0</v>
      </c>
      <c r="X20" s="4">
        <f>SUM(G20:J20)</f>
        <v>0</v>
      </c>
      <c r="Y20" s="4">
        <f>SUM(K20:N20)</f>
        <v>1</v>
      </c>
      <c r="Z20" s="4">
        <f>SUM(O20:R20)</f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</row>
    <row r="21" spans="2:136" s="1" customFormat="1" x14ac:dyDescent="0.3">
      <c r="B21" s="1" t="s">
        <v>42</v>
      </c>
      <c r="G21" s="8">
        <f t="shared" ref="G21:N21" si="26">G18-G19-G20</f>
        <v>-1349</v>
      </c>
      <c r="H21" s="8">
        <f t="shared" si="26"/>
        <v>-1195</v>
      </c>
      <c r="I21" s="8">
        <f t="shared" si="26"/>
        <v>-1367</v>
      </c>
      <c r="J21" s="8">
        <f t="shared" si="26"/>
        <v>-1521</v>
      </c>
      <c r="K21" s="8">
        <f t="shared" si="26"/>
        <v>-1446</v>
      </c>
      <c r="L21" s="8">
        <f t="shared" si="26"/>
        <v>-1457</v>
      </c>
      <c r="M21" s="8">
        <f t="shared" si="26"/>
        <v>-1100</v>
      </c>
      <c r="N21" s="8">
        <f t="shared" si="26"/>
        <v>-744</v>
      </c>
      <c r="O21" s="8">
        <f t="shared" ref="O21" si="27">O18-O19-O20</f>
        <v>-646.08000000000004</v>
      </c>
      <c r="P21" s="8">
        <f t="shared" ref="P21" si="28">P18-P19-P20</f>
        <v>-693.94840000000022</v>
      </c>
      <c r="Q21" s="8">
        <f t="shared" ref="Q21" si="29">Q18-Q19-Q20</f>
        <v>-714.74066800000026</v>
      </c>
      <c r="R21" s="8">
        <f t="shared" ref="R21" si="30">R18-R19-R20</f>
        <v>-682.40903468000033</v>
      </c>
      <c r="U21" s="8">
        <f t="shared" ref="U21:AA21" si="31">U18-U19-U20</f>
        <v>-1018</v>
      </c>
      <c r="V21" s="8">
        <f t="shared" si="31"/>
        <v>-4687</v>
      </c>
      <c r="W21" s="8">
        <f t="shared" si="31"/>
        <v>-6752</v>
      </c>
      <c r="X21" s="8">
        <f t="shared" si="31"/>
        <v>-5432</v>
      </c>
      <c r="Y21" s="8">
        <f t="shared" si="31"/>
        <v>-4747</v>
      </c>
      <c r="Z21" s="8">
        <f t="shared" si="31"/>
        <v>-2737.1781026800018</v>
      </c>
      <c r="AA21" s="8">
        <f t="shared" si="31"/>
        <v>-2431.7268265104008</v>
      </c>
      <c r="AB21" s="8">
        <f t="shared" ref="AB21:AJ21" si="32">AB18-AB19-AB20</f>
        <v>-2099.6875420206088</v>
      </c>
      <c r="AC21" s="8">
        <f t="shared" si="32"/>
        <v>-1692.1326230002155</v>
      </c>
      <c r="AD21" s="8">
        <f t="shared" si="32"/>
        <v>-1245.5839683298057</v>
      </c>
      <c r="AE21" s="8">
        <f t="shared" si="32"/>
        <v>-891.56180971139338</v>
      </c>
      <c r="AF21" s="8">
        <f t="shared" si="32"/>
        <v>-542.96295195620974</v>
      </c>
      <c r="AG21" s="8">
        <f t="shared" si="32"/>
        <v>-384.89977172942605</v>
      </c>
      <c r="AH21" s="8">
        <f t="shared" si="32"/>
        <v>-249.01865733726493</v>
      </c>
      <c r="AI21" s="8">
        <f t="shared" si="32"/>
        <v>-104.87427811854616</v>
      </c>
      <c r="AJ21" s="8">
        <f t="shared" si="32"/>
        <v>47.957629394745481</v>
      </c>
      <c r="AK21" s="1">
        <f>AJ21*(1+$AN$26)</f>
        <v>47.478053100798029</v>
      </c>
      <c r="AL21" s="1">
        <f t="shared" ref="AL21:CW21" si="33">AK21*(1+$AN$26)</f>
        <v>47.003272569790049</v>
      </c>
      <c r="AM21" s="1">
        <f t="shared" si="33"/>
        <v>46.533239844092151</v>
      </c>
      <c r="AN21" s="1">
        <f t="shared" si="33"/>
        <v>46.06790744565123</v>
      </c>
      <c r="AO21" s="1">
        <f t="shared" si="33"/>
        <v>45.607228371194715</v>
      </c>
      <c r="AP21" s="1">
        <f t="shared" si="33"/>
        <v>45.151156087482768</v>
      </c>
      <c r="AQ21" s="1">
        <f t="shared" si="33"/>
        <v>44.699644526607941</v>
      </c>
      <c r="AR21" s="1">
        <f t="shared" si="33"/>
        <v>44.25264808134186</v>
      </c>
      <c r="AS21" s="1">
        <f t="shared" si="33"/>
        <v>43.81012160052844</v>
      </c>
      <c r="AT21" s="1">
        <f t="shared" si="33"/>
        <v>43.372020384523154</v>
      </c>
      <c r="AU21" s="1">
        <f t="shared" si="33"/>
        <v>42.938300180677921</v>
      </c>
      <c r="AV21" s="1">
        <f t="shared" si="33"/>
        <v>42.508917178871144</v>
      </c>
      <c r="AW21" s="1">
        <f t="shared" si="33"/>
        <v>42.083828007082431</v>
      </c>
      <c r="AX21" s="1">
        <f t="shared" si="33"/>
        <v>41.662989727011606</v>
      </c>
      <c r="AY21" s="1">
        <f t="shared" si="33"/>
        <v>41.246359829741486</v>
      </c>
      <c r="AZ21" s="1">
        <f t="shared" si="33"/>
        <v>40.833896231444072</v>
      </c>
      <c r="BA21" s="1">
        <f t="shared" si="33"/>
        <v>40.425557269129634</v>
      </c>
      <c r="BB21" s="1">
        <f t="shared" si="33"/>
        <v>40.021301696438336</v>
      </c>
      <c r="BC21" s="1">
        <f t="shared" si="33"/>
        <v>39.621088679473949</v>
      </c>
      <c r="BD21" s="1">
        <f t="shared" si="33"/>
        <v>39.224877792679209</v>
      </c>
      <c r="BE21" s="1">
        <f t="shared" si="33"/>
        <v>38.832629014752413</v>
      </c>
      <c r="BF21" s="1">
        <f t="shared" si="33"/>
        <v>38.444302724604889</v>
      </c>
      <c r="BG21" s="1">
        <f t="shared" si="33"/>
        <v>38.059859697358839</v>
      </c>
      <c r="BH21" s="1">
        <f t="shared" si="33"/>
        <v>37.679261100385247</v>
      </c>
      <c r="BI21" s="1">
        <f t="shared" si="33"/>
        <v>37.302468489381397</v>
      </c>
      <c r="BJ21" s="1">
        <f t="shared" si="33"/>
        <v>36.929443804487583</v>
      </c>
      <c r="BK21" s="1">
        <f t="shared" si="33"/>
        <v>36.560149366442708</v>
      </c>
      <c r="BL21" s="1">
        <f t="shared" si="33"/>
        <v>36.19454787277828</v>
      </c>
      <c r="BM21" s="1">
        <f t="shared" si="33"/>
        <v>35.832602394050497</v>
      </c>
      <c r="BN21" s="1">
        <f t="shared" si="33"/>
        <v>35.47427637010999</v>
      </c>
      <c r="BO21" s="1">
        <f t="shared" si="33"/>
        <v>35.119533606408893</v>
      </c>
      <c r="BP21" s="1">
        <f t="shared" si="33"/>
        <v>34.768338270344806</v>
      </c>
      <c r="BQ21" s="1">
        <f t="shared" si="33"/>
        <v>34.420654887641355</v>
      </c>
      <c r="BR21" s="1">
        <f t="shared" si="33"/>
        <v>34.076448338764941</v>
      </c>
      <c r="BS21" s="1">
        <f t="shared" si="33"/>
        <v>33.735683855377289</v>
      </c>
      <c r="BT21" s="1">
        <f t="shared" si="33"/>
        <v>33.398327016823515</v>
      </c>
      <c r="BU21" s="1">
        <f t="shared" si="33"/>
        <v>33.064343746655283</v>
      </c>
      <c r="BV21" s="1">
        <f t="shared" si="33"/>
        <v>32.733700309188727</v>
      </c>
      <c r="BW21" s="1">
        <f t="shared" si="33"/>
        <v>32.406363306096843</v>
      </c>
      <c r="BX21" s="1">
        <f t="shared" si="33"/>
        <v>32.082299673035877</v>
      </c>
      <c r="BY21" s="1">
        <f t="shared" si="33"/>
        <v>31.761476676305517</v>
      </c>
      <c r="BZ21" s="1">
        <f t="shared" si="33"/>
        <v>31.443861909542463</v>
      </c>
      <c r="CA21" s="1">
        <f t="shared" si="33"/>
        <v>31.129423290447036</v>
      </c>
      <c r="CB21" s="1">
        <f t="shared" si="33"/>
        <v>30.818129057542567</v>
      </c>
      <c r="CC21" s="1">
        <f t="shared" si="33"/>
        <v>30.509947766967141</v>
      </c>
      <c r="CD21" s="1">
        <f t="shared" si="33"/>
        <v>30.20484828929747</v>
      </c>
      <c r="CE21" s="1">
        <f t="shared" si="33"/>
        <v>29.902799806404495</v>
      </c>
      <c r="CF21" s="1">
        <f t="shared" si="33"/>
        <v>29.603771808340451</v>
      </c>
      <c r="CG21" s="1">
        <f t="shared" si="33"/>
        <v>29.307734090257046</v>
      </c>
      <c r="CH21" s="1">
        <f t="shared" si="33"/>
        <v>29.014656749354476</v>
      </c>
      <c r="CI21" s="1">
        <f t="shared" si="33"/>
        <v>28.724510181860932</v>
      </c>
      <c r="CJ21" s="1">
        <f t="shared" si="33"/>
        <v>28.437265080042323</v>
      </c>
      <c r="CK21" s="1">
        <f t="shared" si="33"/>
        <v>28.152892429241898</v>
      </c>
      <c r="CL21" s="1">
        <f t="shared" si="33"/>
        <v>27.871363504949478</v>
      </c>
      <c r="CM21" s="1">
        <f t="shared" si="33"/>
        <v>27.592649869899983</v>
      </c>
      <c r="CN21" s="1">
        <f t="shared" si="33"/>
        <v>27.316723371200982</v>
      </c>
      <c r="CO21" s="1">
        <f t="shared" si="33"/>
        <v>27.043556137488974</v>
      </c>
      <c r="CP21" s="1">
        <f t="shared" si="33"/>
        <v>26.773120576114085</v>
      </c>
      <c r="CQ21" s="1">
        <f t="shared" si="33"/>
        <v>26.505389370352944</v>
      </c>
      <c r="CR21" s="1">
        <f t="shared" si="33"/>
        <v>26.240335476649413</v>
      </c>
      <c r="CS21" s="1">
        <f t="shared" si="33"/>
        <v>25.977932121882919</v>
      </c>
      <c r="CT21" s="1">
        <f t="shared" si="33"/>
        <v>25.71815280066409</v>
      </c>
      <c r="CU21" s="1">
        <f t="shared" si="33"/>
        <v>25.460971272657449</v>
      </c>
      <c r="CV21" s="1">
        <f t="shared" si="33"/>
        <v>25.206361559930876</v>
      </c>
      <c r="CW21" s="1">
        <f t="shared" si="33"/>
        <v>24.954297944331568</v>
      </c>
      <c r="CX21" s="1">
        <f t="shared" ref="CX21:EF21" si="34">CW21*(1+$AN$26)</f>
        <v>24.704754964888252</v>
      </c>
      <c r="CY21" s="1">
        <f t="shared" si="34"/>
        <v>24.457707415239369</v>
      </c>
      <c r="CZ21" s="1">
        <f t="shared" si="34"/>
        <v>24.213130341086977</v>
      </c>
      <c r="DA21" s="1">
        <f t="shared" si="34"/>
        <v>23.970999037676108</v>
      </c>
      <c r="DB21" s="1">
        <f t="shared" si="34"/>
        <v>23.731289047299349</v>
      </c>
      <c r="DC21" s="1">
        <f t="shared" si="34"/>
        <v>23.493976156826356</v>
      </c>
      <c r="DD21" s="1">
        <f t="shared" si="34"/>
        <v>23.259036395258093</v>
      </c>
      <c r="DE21" s="1">
        <f t="shared" si="34"/>
        <v>23.026446031305511</v>
      </c>
      <c r="DF21" s="1">
        <f t="shared" si="34"/>
        <v>22.796181570992456</v>
      </c>
      <c r="DG21" s="1">
        <f t="shared" si="34"/>
        <v>22.568219755282531</v>
      </c>
      <c r="DH21" s="1">
        <f t="shared" si="34"/>
        <v>22.342537557729706</v>
      </c>
      <c r="DI21" s="1">
        <f t="shared" si="34"/>
        <v>22.11911218215241</v>
      </c>
      <c r="DJ21" s="1">
        <f t="shared" si="34"/>
        <v>21.897921060330887</v>
      </c>
      <c r="DK21" s="1">
        <f t="shared" si="34"/>
        <v>21.678941849727579</v>
      </c>
      <c r="DL21" s="1">
        <f t="shared" si="34"/>
        <v>21.462152431230304</v>
      </c>
      <c r="DM21" s="1">
        <f t="shared" si="34"/>
        <v>21.247530906918001</v>
      </c>
      <c r="DN21" s="1">
        <f t="shared" si="34"/>
        <v>21.035055597848821</v>
      </c>
      <c r="DO21" s="1">
        <f t="shared" si="34"/>
        <v>20.824705041870331</v>
      </c>
      <c r="DP21" s="1">
        <f t="shared" si="34"/>
        <v>20.616457991451629</v>
      </c>
      <c r="DQ21" s="1">
        <f t="shared" si="34"/>
        <v>20.410293411537111</v>
      </c>
      <c r="DR21" s="1">
        <f t="shared" si="34"/>
        <v>20.206190477421739</v>
      </c>
      <c r="DS21" s="1">
        <f t="shared" si="34"/>
        <v>20.00412857264752</v>
      </c>
      <c r="DT21" s="1">
        <f t="shared" si="34"/>
        <v>19.804087286921046</v>
      </c>
      <c r="DU21" s="1">
        <f t="shared" si="34"/>
        <v>19.606046414051836</v>
      </c>
      <c r="DV21" s="1">
        <f t="shared" si="34"/>
        <v>19.409985949911317</v>
      </c>
      <c r="DW21" s="1">
        <f t="shared" si="34"/>
        <v>19.215886090412202</v>
      </c>
      <c r="DX21" s="1">
        <f t="shared" si="34"/>
        <v>19.023727229508079</v>
      </c>
      <c r="DY21" s="1">
        <f t="shared" si="34"/>
        <v>18.833489957212997</v>
      </c>
      <c r="DZ21" s="1">
        <f t="shared" si="34"/>
        <v>18.645155057640867</v>
      </c>
      <c r="EA21" s="1">
        <f t="shared" si="34"/>
        <v>18.45870350706446</v>
      </c>
      <c r="EB21" s="1">
        <f t="shared" si="34"/>
        <v>18.274116471993814</v>
      </c>
      <c r="EC21" s="1">
        <f t="shared" si="34"/>
        <v>18.091375307273875</v>
      </c>
      <c r="ED21" s="1">
        <f t="shared" si="34"/>
        <v>17.910461554201135</v>
      </c>
      <c r="EE21" s="1">
        <f t="shared" si="34"/>
        <v>17.731356938659122</v>
      </c>
      <c r="EF21" s="1">
        <f t="shared" si="34"/>
        <v>17.554043369272531</v>
      </c>
    </row>
    <row r="22" spans="2:136" x14ac:dyDescent="0.3">
      <c r="B22" t="s">
        <v>2</v>
      </c>
      <c r="G22" s="4">
        <v>930</v>
      </c>
      <c r="H22" s="4">
        <v>942</v>
      </c>
      <c r="I22" s="4">
        <v>942</v>
      </c>
      <c r="J22" s="4">
        <v>963</v>
      </c>
      <c r="K22" s="4">
        <v>978</v>
      </c>
      <c r="L22" s="9">
        <v>1058</v>
      </c>
      <c r="M22" s="9">
        <v>1058</v>
      </c>
      <c r="N22" s="4">
        <v>1058</v>
      </c>
      <c r="O22" s="4">
        <v>1058</v>
      </c>
      <c r="P22" s="4">
        <v>1058</v>
      </c>
      <c r="Q22" s="4">
        <v>1058</v>
      </c>
      <c r="R22" s="4">
        <v>1058</v>
      </c>
      <c r="U22" s="4">
        <v>1058</v>
      </c>
      <c r="V22" s="4">
        <v>1058</v>
      </c>
      <c r="W22" s="4">
        <v>1058</v>
      </c>
      <c r="X22" s="4">
        <v>1058</v>
      </c>
      <c r="Y22" s="4">
        <v>1058</v>
      </c>
      <c r="Z22" s="4">
        <v>1058</v>
      </c>
      <c r="AA22" s="4">
        <v>1058</v>
      </c>
      <c r="AB22" s="4">
        <v>1058</v>
      </c>
      <c r="AC22" s="4">
        <v>1058</v>
      </c>
      <c r="AD22" s="4">
        <v>1058</v>
      </c>
      <c r="AE22" s="4">
        <v>1058</v>
      </c>
      <c r="AF22" s="4">
        <v>1058</v>
      </c>
      <c r="AG22" s="4">
        <v>1058</v>
      </c>
      <c r="AH22" s="4">
        <v>1058</v>
      </c>
      <c r="AI22" s="4">
        <v>1058</v>
      </c>
      <c r="AJ22" s="4">
        <v>1058</v>
      </c>
    </row>
    <row r="23" spans="2:136" x14ac:dyDescent="0.3">
      <c r="B23" t="s">
        <v>43</v>
      </c>
      <c r="G23" s="6">
        <f t="shared" ref="G23:N23" si="35">G21/G22</f>
        <v>-1.4505376344086021</v>
      </c>
      <c r="H23" s="6">
        <f t="shared" si="35"/>
        <v>-1.2685774946921444</v>
      </c>
      <c r="I23" s="6">
        <f t="shared" si="35"/>
        <v>-1.4511677282377919</v>
      </c>
      <c r="J23" s="6">
        <f t="shared" si="35"/>
        <v>-1.5794392523364487</v>
      </c>
      <c r="K23" s="6">
        <f t="shared" si="35"/>
        <v>-1.4785276073619631</v>
      </c>
      <c r="L23" s="6">
        <f t="shared" si="35"/>
        <v>-1.3771266540642721</v>
      </c>
      <c r="M23" s="6">
        <f t="shared" si="35"/>
        <v>-1.0396975425330812</v>
      </c>
      <c r="N23" s="6">
        <f t="shared" si="35"/>
        <v>-0.7032136105860114</v>
      </c>
      <c r="O23" s="6">
        <f t="shared" ref="O23" si="36">O21/O22</f>
        <v>-0.61066162570888471</v>
      </c>
      <c r="P23" s="6">
        <f t="shared" ref="P23" si="37">P21/P22</f>
        <v>-0.65590586011342178</v>
      </c>
      <c r="Q23" s="6">
        <f t="shared" ref="Q23" si="38">Q21/Q22</f>
        <v>-0.67555828733459378</v>
      </c>
      <c r="R23" s="6">
        <f t="shared" ref="R23" si="39">R21/R22</f>
        <v>-0.64499908759924418</v>
      </c>
      <c r="U23" s="6">
        <f t="shared" ref="U23:AA23" si="40">U21/U22</f>
        <v>-0.96219281663516065</v>
      </c>
      <c r="V23" s="6">
        <f t="shared" si="40"/>
        <v>-4.4300567107750473</v>
      </c>
      <c r="W23" s="6">
        <f t="shared" si="40"/>
        <v>-6.3818525519848768</v>
      </c>
      <c r="X23" s="6">
        <f t="shared" si="40"/>
        <v>-5.1342155009451798</v>
      </c>
      <c r="Y23" s="6">
        <f t="shared" si="40"/>
        <v>-4.4867674858223063</v>
      </c>
      <c r="Z23" s="6">
        <f t="shared" si="40"/>
        <v>-2.5871248607561452</v>
      </c>
      <c r="AA23" s="6">
        <f t="shared" si="40"/>
        <v>-2.2984185505769386</v>
      </c>
      <c r="AB23" s="6">
        <f t="shared" ref="AB23:AJ23" si="41">AB21/AB22</f>
        <v>-1.984581797751048</v>
      </c>
      <c r="AC23" s="6">
        <f t="shared" si="41"/>
        <v>-1.5993692088848919</v>
      </c>
      <c r="AD23" s="6">
        <f t="shared" si="41"/>
        <v>-1.1773005371737293</v>
      </c>
      <c r="AE23" s="6">
        <f t="shared" si="41"/>
        <v>-0.84268602052116581</v>
      </c>
      <c r="AF23" s="6">
        <f t="shared" si="41"/>
        <v>-0.51319749712307161</v>
      </c>
      <c r="AG23" s="6">
        <f t="shared" si="41"/>
        <v>-0.36379940617148021</v>
      </c>
      <c r="AH23" s="6">
        <f t="shared" si="41"/>
        <v>-0.23536735098040162</v>
      </c>
      <c r="AI23" s="6">
        <f t="shared" si="41"/>
        <v>-9.9125026577075767E-2</v>
      </c>
      <c r="AJ23" s="6">
        <f t="shared" si="41"/>
        <v>4.5328572206753764E-2</v>
      </c>
    </row>
    <row r="25" spans="2:136" s="1" customFormat="1" x14ac:dyDescent="0.3">
      <c r="B25" s="1" t="s">
        <v>48</v>
      </c>
      <c r="G25" s="11"/>
      <c r="H25" s="11"/>
      <c r="I25" s="11"/>
      <c r="J25" s="11"/>
      <c r="K25" s="11">
        <f t="shared" ref="K25:M25" si="42">K5/G5-1</f>
        <v>0.82148260211800306</v>
      </c>
      <c r="L25" s="11">
        <f t="shared" si="42"/>
        <v>3.3006244424620856E-2</v>
      </c>
      <c r="M25" s="11">
        <f t="shared" si="42"/>
        <v>-0.34629768137621542</v>
      </c>
      <c r="N25" s="11">
        <f>N5/J5-1</f>
        <v>0.31863117870722424</v>
      </c>
      <c r="O25" s="11">
        <f t="shared" ref="O25:R25" si="43">O5/K5-1</f>
        <v>0.10000000000000009</v>
      </c>
      <c r="P25" s="11">
        <f t="shared" si="43"/>
        <v>0.14999999999999991</v>
      </c>
      <c r="Q25" s="11">
        <f t="shared" si="43"/>
        <v>0.60000000000000009</v>
      </c>
      <c r="R25" s="11">
        <f t="shared" si="43"/>
        <v>0.19999999999999973</v>
      </c>
      <c r="T25" s="11"/>
      <c r="U25" s="11"/>
      <c r="V25" s="11"/>
      <c r="W25" s="11">
        <f t="shared" ref="W25:X25" si="44">W5/V5-1</f>
        <v>29.145454545454545</v>
      </c>
      <c r="X25" s="11">
        <f t="shared" si="44"/>
        <v>1.6743063932448732</v>
      </c>
      <c r="Y25" s="11">
        <f>Y5/X5-1</f>
        <v>0.12088407758231834</v>
      </c>
      <c r="Z25" s="11">
        <f t="shared" ref="Z25:AJ25" si="45">Z5/Y5-1</f>
        <v>0.23446680080482873</v>
      </c>
      <c r="AA25" s="11">
        <f t="shared" si="45"/>
        <v>0.39999999999999991</v>
      </c>
      <c r="AB25" s="11">
        <f t="shared" si="45"/>
        <v>0.19999999999999996</v>
      </c>
      <c r="AC25" s="11">
        <f t="shared" si="45"/>
        <v>0.14999999999999991</v>
      </c>
      <c r="AD25" s="11">
        <f t="shared" si="45"/>
        <v>0.12000000000000011</v>
      </c>
      <c r="AE25" s="11">
        <f t="shared" si="45"/>
        <v>0.10000000000000009</v>
      </c>
      <c r="AF25" s="11">
        <f t="shared" si="45"/>
        <v>8.0000000000000071E-2</v>
      </c>
      <c r="AG25" s="11">
        <f t="shared" si="45"/>
        <v>6.0000000000000053E-2</v>
      </c>
      <c r="AH25" s="11">
        <f t="shared" si="45"/>
        <v>5.0000000000000044E-2</v>
      </c>
      <c r="AI25" s="11">
        <f t="shared" si="45"/>
        <v>5.0000000000000044E-2</v>
      </c>
      <c r="AJ25" s="11">
        <f t="shared" si="45"/>
        <v>5.0000000000000044E-2</v>
      </c>
    </row>
    <row r="26" spans="2:136" x14ac:dyDescent="0.3">
      <c r="B26" t="s">
        <v>49</v>
      </c>
      <c r="G26" s="10">
        <f t="shared" ref="G26:M26" si="46">G9/G5</f>
        <v>-0.80937972768532529</v>
      </c>
      <c r="H26" s="10">
        <f t="shared" si="46"/>
        <v>-0.36752899197145406</v>
      </c>
      <c r="I26" s="10">
        <f t="shared" si="46"/>
        <v>-0.3567688855646971</v>
      </c>
      <c r="J26" s="10">
        <f t="shared" si="46"/>
        <v>-0.46083650190114067</v>
      </c>
      <c r="K26" s="10">
        <f t="shared" si="46"/>
        <v>-0.4377076411960133</v>
      </c>
      <c r="L26" s="10">
        <f t="shared" si="46"/>
        <v>-0.38946459412780654</v>
      </c>
      <c r="M26" s="10">
        <f t="shared" si="46"/>
        <v>-0.44851258581235698</v>
      </c>
      <c r="N26" s="10">
        <f>N9/N5</f>
        <v>9.8039215686274508E-2</v>
      </c>
      <c r="O26" s="10">
        <f t="shared" ref="O26:R26" si="47">O9/O5</f>
        <v>0.10000000000000003</v>
      </c>
      <c r="P26" s="10">
        <f t="shared" si="47"/>
        <v>9.9999999999999895E-2</v>
      </c>
      <c r="Q26" s="10">
        <f t="shared" si="47"/>
        <v>9.9999999999999936E-2</v>
      </c>
      <c r="R26" s="10">
        <f t="shared" si="47"/>
        <v>9.9999999999999978E-2</v>
      </c>
      <c r="T26" s="10"/>
      <c r="U26" s="10"/>
      <c r="V26" s="10">
        <f t="shared" ref="V26:X26" si="48">V9/V5</f>
        <v>-8.454545454545455</v>
      </c>
      <c r="W26" s="10">
        <f t="shared" si="48"/>
        <v>-1.8835946924004825</v>
      </c>
      <c r="X26" s="10">
        <f t="shared" si="48"/>
        <v>-0.45782589084348219</v>
      </c>
      <c r="Y26" s="10">
        <f>Y9/Y5</f>
        <v>-0.2414486921529175</v>
      </c>
      <c r="Z26" s="10">
        <f t="shared" ref="Z26:AJ26" si="49">Z9/Z5</f>
        <v>9.9999999999999825E-2</v>
      </c>
      <c r="AA26" s="10">
        <f t="shared" si="49"/>
        <v>0.11999999999999998</v>
      </c>
      <c r="AB26" s="10">
        <f t="shared" si="49"/>
        <v>0.14000000000000001</v>
      </c>
      <c r="AC26" s="10">
        <f t="shared" si="49"/>
        <v>0.16</v>
      </c>
      <c r="AD26" s="10">
        <f t="shared" si="49"/>
        <v>0.18</v>
      </c>
      <c r="AE26" s="10">
        <f t="shared" si="49"/>
        <v>0.19</v>
      </c>
      <c r="AF26" s="10">
        <f t="shared" si="49"/>
        <v>0.2</v>
      </c>
      <c r="AG26" s="10">
        <f t="shared" si="49"/>
        <v>0.2</v>
      </c>
      <c r="AH26" s="10">
        <f t="shared" si="49"/>
        <v>0.2</v>
      </c>
      <c r="AI26" s="10">
        <f t="shared" si="49"/>
        <v>0.2</v>
      </c>
      <c r="AJ26" s="10">
        <f t="shared" si="49"/>
        <v>0.2</v>
      </c>
      <c r="AM26" t="s">
        <v>54</v>
      </c>
      <c r="AN26" s="10">
        <v>-0.01</v>
      </c>
    </row>
    <row r="27" spans="2:136" x14ac:dyDescent="0.3">
      <c r="B27" t="s">
        <v>50</v>
      </c>
      <c r="G27" s="10"/>
      <c r="H27" s="10"/>
      <c r="I27" s="10"/>
      <c r="J27" s="10"/>
      <c r="K27" s="10">
        <f t="shared" ref="K27:M27" si="50">K10/G10-1</f>
        <v>-7.0564516129032251E-2</v>
      </c>
      <c r="L27" s="10">
        <f t="shared" si="50"/>
        <v>-3.6036036036036001E-2</v>
      </c>
      <c r="M27" s="10">
        <f t="shared" si="50"/>
        <v>-0.33837429111531192</v>
      </c>
      <c r="N27" s="10">
        <f>N10/J10-1</f>
        <v>-0.28897338403041828</v>
      </c>
      <c r="O27" s="10">
        <f t="shared" ref="O27:R27" si="51">O10/K10-1</f>
        <v>-0.26984815618221258</v>
      </c>
      <c r="P27" s="10">
        <f t="shared" si="51"/>
        <v>-0.17422897196261666</v>
      </c>
      <c r="Q27" s="10">
        <f t="shared" si="51"/>
        <v>6.0290000000000399E-2</v>
      </c>
      <c r="R27" s="10">
        <f t="shared" si="51"/>
        <v>4.1862500000000358E-2</v>
      </c>
      <c r="T27" s="10"/>
      <c r="U27" s="10"/>
      <c r="V27" s="10">
        <f t="shared" ref="V27:X27" si="52">V10/U10-1</f>
        <v>1.4151436031331595</v>
      </c>
      <c r="W27" s="10">
        <f t="shared" si="52"/>
        <v>5.0810810810810736E-2</v>
      </c>
      <c r="X27" s="10">
        <f t="shared" si="52"/>
        <v>2.6234567901234573E-2</v>
      </c>
      <c r="Y27" s="10">
        <f>Y10/X10-1</f>
        <v>-0.19147869674185458</v>
      </c>
      <c r="Z27" s="10">
        <f t="shared" ref="Z27:AJ27" si="53">Z10/Y10-1</f>
        <v>-0.10056535957842505</v>
      </c>
      <c r="AA27" s="10">
        <f t="shared" si="53"/>
        <v>4.0000000000000036E-2</v>
      </c>
      <c r="AB27" s="10">
        <f t="shared" si="53"/>
        <v>3.0000000000000027E-2</v>
      </c>
      <c r="AC27" s="10">
        <f t="shared" si="53"/>
        <v>2.0000000000000018E-2</v>
      </c>
      <c r="AD27" s="10">
        <f t="shared" si="53"/>
        <v>2.0000000000000018E-2</v>
      </c>
      <c r="AE27" s="10">
        <f t="shared" si="53"/>
        <v>1.0000000000000009E-2</v>
      </c>
      <c r="AF27" s="10">
        <f t="shared" si="53"/>
        <v>1.0000000000000009E-2</v>
      </c>
      <c r="AG27" s="10">
        <f t="shared" si="53"/>
        <v>1.0000000000000009E-2</v>
      </c>
      <c r="AH27" s="10">
        <f t="shared" si="53"/>
        <v>1.0000000000000009E-2</v>
      </c>
      <c r="AI27" s="10">
        <f t="shared" si="53"/>
        <v>1.0000000000000009E-2</v>
      </c>
      <c r="AJ27" s="10">
        <f t="shared" si="53"/>
        <v>1.0000000000000009E-2</v>
      </c>
      <c r="AM27" t="s">
        <v>55</v>
      </c>
      <c r="AN27" s="10">
        <v>0.09</v>
      </c>
    </row>
    <row r="28" spans="2:136" x14ac:dyDescent="0.3">
      <c r="B28" t="s">
        <v>51</v>
      </c>
      <c r="G28" s="10">
        <f t="shared" ref="G28:M28" si="54">G11/G5</f>
        <v>0.60816944024205744</v>
      </c>
      <c r="H28" s="10">
        <f t="shared" si="54"/>
        <v>0.38269402319357715</v>
      </c>
      <c r="I28" s="10">
        <f t="shared" si="54"/>
        <v>0.32460732984293195</v>
      </c>
      <c r="J28" s="10">
        <f t="shared" si="54"/>
        <v>0.34144486692015208</v>
      </c>
      <c r="K28" s="10">
        <f t="shared" si="54"/>
        <v>0.41196013289036543</v>
      </c>
      <c r="L28" s="10">
        <f t="shared" si="54"/>
        <v>0.42832469775474957</v>
      </c>
      <c r="M28" s="10">
        <f t="shared" si="54"/>
        <v>0.48855835240274598</v>
      </c>
      <c r="N28" s="10">
        <f>N11/N5</f>
        <v>0.2635524798154556</v>
      </c>
      <c r="O28" s="10">
        <f t="shared" ref="O28:R28" si="55">O11/O5</f>
        <v>0.35886439142253096</v>
      </c>
      <c r="P28" s="10">
        <f t="shared" si="55"/>
        <v>0.36760411504092522</v>
      </c>
      <c r="Q28" s="10">
        <f t="shared" si="55"/>
        <v>0.35707177345537761</v>
      </c>
      <c r="R28" s="10">
        <f t="shared" si="55"/>
        <v>0.24236950196078438</v>
      </c>
      <c r="T28" s="10"/>
      <c r="U28" s="10"/>
      <c r="V28" s="10">
        <f t="shared" ref="V28:X28" si="56">V11/V5</f>
        <v>34.618181818181817</v>
      </c>
      <c r="W28" s="10">
        <f t="shared" si="56"/>
        <v>1.0790108564535585</v>
      </c>
      <c r="X28" s="10">
        <f t="shared" si="56"/>
        <v>0.38655841226883175</v>
      </c>
      <c r="Y28" s="10">
        <f>Y11/Y5</f>
        <v>0.37746478873239436</v>
      </c>
      <c r="Z28" s="10">
        <f t="shared" ref="Z28:AJ28" si="57">Z11/Z5</f>
        <v>0.32084332105683511</v>
      </c>
      <c r="AA28" s="10">
        <f t="shared" si="57"/>
        <v>0.23604901477752871</v>
      </c>
      <c r="AB28" s="10">
        <f t="shared" si="57"/>
        <v>0.20064166256089944</v>
      </c>
      <c r="AC28" s="10">
        <f t="shared" si="57"/>
        <v>0.17621572103174646</v>
      </c>
      <c r="AD28" s="10">
        <f t="shared" si="57"/>
        <v>0.15890881985898561</v>
      </c>
      <c r="AE28" s="10">
        <f t="shared" si="57"/>
        <v>0.14590718914325043</v>
      </c>
      <c r="AF28" s="10">
        <f t="shared" si="57"/>
        <v>0.13645024169878048</v>
      </c>
      <c r="AG28" s="10">
        <f t="shared" si="57"/>
        <v>0.13001390954317762</v>
      </c>
      <c r="AH28" s="10">
        <f t="shared" si="57"/>
        <v>0.12506099870343751</v>
      </c>
      <c r="AI28" s="10">
        <f t="shared" si="57"/>
        <v>0.12029677018140181</v>
      </c>
      <c r="AJ28" s="10">
        <f t="shared" si="57"/>
        <v>0.11571403607925317</v>
      </c>
      <c r="AM28" t="s">
        <v>56</v>
      </c>
      <c r="AN28" s="4">
        <f>NPV(AN27,Z21:EF21)</f>
        <v>-9165.7317785365594</v>
      </c>
    </row>
    <row r="29" spans="2:136" x14ac:dyDescent="0.3">
      <c r="B29" t="s">
        <v>53</v>
      </c>
      <c r="G29" s="10">
        <f t="shared" ref="G29:M29" si="58">G12/G5</f>
        <v>-2.1679273827534038</v>
      </c>
      <c r="H29" s="10">
        <f t="shared" si="58"/>
        <v>-1.1462979482604818</v>
      </c>
      <c r="I29" s="10">
        <f t="shared" si="58"/>
        <v>-1.0770381451009723</v>
      </c>
      <c r="J29" s="10">
        <f t="shared" si="58"/>
        <v>-1.2022813688212928</v>
      </c>
      <c r="K29" s="10">
        <f t="shared" si="58"/>
        <v>-1.2325581395348837</v>
      </c>
      <c r="L29" s="10">
        <f t="shared" si="58"/>
        <v>-1.1873920552677029</v>
      </c>
      <c r="M29" s="10">
        <f t="shared" si="58"/>
        <v>-1.3375286041189931</v>
      </c>
      <c r="N29" s="10">
        <f>N12/N5</f>
        <v>-0.38119953863898498</v>
      </c>
      <c r="O29" s="10">
        <f t="shared" ref="O29:R29" si="59">O12/O5</f>
        <v>-0.51301721534279676</v>
      </c>
      <c r="P29" s="10">
        <f t="shared" si="59"/>
        <v>-0.53300172711571703</v>
      </c>
      <c r="Q29" s="10">
        <f t="shared" si="59"/>
        <v>-0.52244756006865001</v>
      </c>
      <c r="R29" s="10">
        <f t="shared" si="59"/>
        <v>-0.32963236960784337</v>
      </c>
      <c r="T29" s="10"/>
      <c r="U29" s="10"/>
      <c r="V29" s="10">
        <f t="shared" ref="V29:X29" si="60">V12/V5</f>
        <v>-76.709090909090904</v>
      </c>
      <c r="W29" s="10">
        <f t="shared" si="60"/>
        <v>-4.1351025331724971</v>
      </c>
      <c r="X29" s="10">
        <f t="shared" si="60"/>
        <v>-1.2943166441136671</v>
      </c>
      <c r="Y29" s="10">
        <f>Y12/Y5</f>
        <v>-0.94346076458752515</v>
      </c>
      <c r="Z29" s="10">
        <f t="shared" ref="Z29:AJ29" si="61">Z12/Z5</f>
        <v>-0.45730903178002741</v>
      </c>
      <c r="AA29" s="10">
        <f t="shared" si="61"/>
        <v>-0.29170925702904288</v>
      </c>
      <c r="AB29" s="10">
        <f t="shared" si="61"/>
        <v>-0.21141670382678238</v>
      </c>
      <c r="AC29" s="10">
        <f t="shared" si="61"/>
        <v>-0.14994662719800791</v>
      </c>
      <c r="AD29" s="10">
        <f t="shared" si="61"/>
        <v>-0.10069946654611658</v>
      </c>
      <c r="AE29" s="10">
        <f t="shared" si="61"/>
        <v>-6.7733146555979742E-2</v>
      </c>
      <c r="AF29" s="10">
        <f t="shared" si="61"/>
        <v>-4.1028220390314368E-2</v>
      </c>
      <c r="AG29" s="10">
        <f t="shared" si="61"/>
        <v>-2.9658964711525938E-2</v>
      </c>
      <c r="AH29" s="10">
        <f t="shared" si="61"/>
        <v>-2.0910051770134483E-2</v>
      </c>
      <c r="AI29" s="10">
        <f t="shared" si="61"/>
        <v>-1.2494430750319831E-2</v>
      </c>
      <c r="AJ29" s="10">
        <f t="shared" si="61"/>
        <v>-4.399404816974299E-3</v>
      </c>
      <c r="AM29" t="s">
        <v>57</v>
      </c>
      <c r="AN29" s="4">
        <f>Main!D8</f>
        <v>3259</v>
      </c>
    </row>
    <row r="30" spans="2:136" x14ac:dyDescent="0.3">
      <c r="B30" t="s">
        <v>41</v>
      </c>
      <c r="G30" s="10">
        <f t="shared" ref="G30:M30" si="62">G19/G18</f>
        <v>-7.4183976261127599E-4</v>
      </c>
      <c r="H30" s="10">
        <f t="shared" si="62"/>
        <v>0</v>
      </c>
      <c r="I30" s="10">
        <f t="shared" si="62"/>
        <v>0</v>
      </c>
      <c r="J30" s="10">
        <f t="shared" si="62"/>
        <v>0</v>
      </c>
      <c r="K30" s="10">
        <f t="shared" si="62"/>
        <v>-6.9204152249134946E-4</v>
      </c>
      <c r="L30" s="10">
        <f t="shared" si="62"/>
        <v>-6.8681318681318687E-4</v>
      </c>
      <c r="M30" s="10">
        <f t="shared" si="62"/>
        <v>0</v>
      </c>
      <c r="N30" s="10">
        <f>N19/N18</f>
        <v>-4.0540540540540543E-3</v>
      </c>
      <c r="O30" s="10">
        <f t="shared" ref="O30:R30" si="63">O19/O18</f>
        <v>0</v>
      </c>
      <c r="P30" s="10">
        <f t="shared" si="63"/>
        <v>0</v>
      </c>
      <c r="Q30" s="10">
        <f t="shared" si="63"/>
        <v>0</v>
      </c>
      <c r="R30" s="10">
        <f t="shared" si="63"/>
        <v>0</v>
      </c>
      <c r="T30" s="10"/>
      <c r="U30" s="10"/>
      <c r="V30" s="10">
        <f t="shared" ref="V30:X30" si="64">V19/V18</f>
        <v>0</v>
      </c>
      <c r="W30" s="10">
        <f t="shared" si="64"/>
        <v>-5.9276822762299936E-4</v>
      </c>
      <c r="X30" s="10">
        <f t="shared" si="64"/>
        <v>-1.8412815319462345E-4</v>
      </c>
      <c r="Y30" s="10">
        <f>Y19/Y18</f>
        <v>-1.054629824931449E-3</v>
      </c>
      <c r="Z30" s="10">
        <f t="shared" ref="Z30:AJ30" si="65">Z19/Z18</f>
        <v>0</v>
      </c>
      <c r="AA30" s="10">
        <f t="shared" si="65"/>
        <v>0</v>
      </c>
      <c r="AB30" s="10">
        <f t="shared" si="65"/>
        <v>0</v>
      </c>
      <c r="AC30" s="10">
        <f t="shared" si="65"/>
        <v>0</v>
      </c>
      <c r="AD30" s="10">
        <f t="shared" si="65"/>
        <v>0</v>
      </c>
      <c r="AE30" s="10">
        <f t="shared" si="65"/>
        <v>0</v>
      </c>
      <c r="AF30" s="10">
        <f t="shared" si="65"/>
        <v>0</v>
      </c>
      <c r="AG30" s="10">
        <f t="shared" si="65"/>
        <v>0</v>
      </c>
      <c r="AH30" s="10">
        <f t="shared" si="65"/>
        <v>0</v>
      </c>
      <c r="AI30" s="10">
        <f t="shared" si="65"/>
        <v>0</v>
      </c>
      <c r="AJ30" s="10">
        <f t="shared" si="65"/>
        <v>0</v>
      </c>
      <c r="AM30" t="s">
        <v>58</v>
      </c>
      <c r="AN30" s="4">
        <f>AN28+AN29</f>
        <v>-5906.7317785365594</v>
      </c>
    </row>
    <row r="31" spans="2:136" x14ac:dyDescent="0.3">
      <c r="B31" t="s">
        <v>52</v>
      </c>
      <c r="G31" s="10">
        <f t="shared" ref="G31:M31" si="66">G21/G5</f>
        <v>-2.0408472012102874</v>
      </c>
      <c r="H31" s="10">
        <f t="shared" si="66"/>
        <v>-1.0660124888492417</v>
      </c>
      <c r="I31" s="10">
        <f t="shared" si="66"/>
        <v>-1.0224382946896036</v>
      </c>
      <c r="J31" s="10">
        <f t="shared" si="66"/>
        <v>-1.1566539923954373</v>
      </c>
      <c r="K31" s="10">
        <f t="shared" si="66"/>
        <v>-1.2009966777408638</v>
      </c>
      <c r="L31" s="10">
        <f t="shared" si="66"/>
        <v>-1.258203799654577</v>
      </c>
      <c r="M31" s="10">
        <f t="shared" si="66"/>
        <v>-1.2585812356979404</v>
      </c>
      <c r="N31" s="10">
        <f>N21/N5</f>
        <v>-0.4290657439446367</v>
      </c>
      <c r="O31" s="10">
        <f t="shared" ref="O31:R31" si="67">O21/O5</f>
        <v>-0.48782845061914831</v>
      </c>
      <c r="P31" s="10">
        <f t="shared" si="67"/>
        <v>-0.5210996470676581</v>
      </c>
      <c r="Q31" s="10">
        <f t="shared" si="67"/>
        <v>-0.51111317791762023</v>
      </c>
      <c r="R31" s="10">
        <f t="shared" si="67"/>
        <v>-0.32795513008458305</v>
      </c>
      <c r="T31" s="10"/>
      <c r="U31" s="10"/>
      <c r="V31" s="10">
        <f t="shared" ref="V31:X31" si="68">V21/V5</f>
        <v>-85.218181818181819</v>
      </c>
      <c r="W31" s="10">
        <f t="shared" si="68"/>
        <v>-4.0723763570566947</v>
      </c>
      <c r="X31" s="10">
        <f t="shared" si="68"/>
        <v>-1.2250789354984213</v>
      </c>
      <c r="Y31" s="10">
        <f>Y21/Y5</f>
        <v>-0.95513078470824953</v>
      </c>
      <c r="Z31" s="10">
        <f t="shared" ref="Z31:AJ31" si="69">Z21/Z5</f>
        <v>-0.44613598400730237</v>
      </c>
      <c r="AA31" s="10">
        <f t="shared" si="69"/>
        <v>-0.28310722103592573</v>
      </c>
      <c r="AB31" s="10">
        <f t="shared" si="69"/>
        <v>-0.20370870423736501</v>
      </c>
      <c r="AC31" s="10">
        <f t="shared" si="69"/>
        <v>-0.14275504750554566</v>
      </c>
      <c r="AD31" s="10">
        <f t="shared" si="69"/>
        <v>-9.3823593288090312E-2</v>
      </c>
      <c r="AE31" s="10">
        <f t="shared" si="69"/>
        <v>-6.1051708751168464E-2</v>
      </c>
      <c r="AF31" s="10">
        <f t="shared" si="69"/>
        <v>-3.4426494965257945E-2</v>
      </c>
      <c r="AG31" s="10">
        <f t="shared" si="69"/>
        <v>-2.3023131785826961E-2</v>
      </c>
      <c r="AH31" s="10">
        <f t="shared" si="69"/>
        <v>-1.4185979698275002E-2</v>
      </c>
      <c r="AI31" s="10">
        <f t="shared" si="69"/>
        <v>-5.6899327340493647E-3</v>
      </c>
      <c r="AJ31" s="10">
        <f t="shared" si="69"/>
        <v>2.4780299778797668E-3</v>
      </c>
      <c r="AM31" t="s">
        <v>59</v>
      </c>
      <c r="AN31" s="12">
        <f>AN30/AJ22</f>
        <v>-5.5829222859513798</v>
      </c>
    </row>
    <row r="32" spans="2:136" x14ac:dyDescent="0.3">
      <c r="AM32" t="s">
        <v>60</v>
      </c>
      <c r="AN32" s="12">
        <f>Main!D3</f>
        <v>11.96</v>
      </c>
    </row>
    <row r="33" spans="2:40" s="1" customFormat="1" x14ac:dyDescent="0.3">
      <c r="B33" s="1" t="s">
        <v>57</v>
      </c>
      <c r="J33" s="8">
        <f>J34+J35-J49</f>
        <v>4937</v>
      </c>
      <c r="N33" s="8">
        <f>N34+N35-N49</f>
        <v>3259</v>
      </c>
      <c r="AM33" s="1" t="s">
        <v>61</v>
      </c>
      <c r="AN33" s="11">
        <f>AN31/AN32-1</f>
        <v>-1.4667995222367374</v>
      </c>
    </row>
    <row r="34" spans="2:40" x14ac:dyDescent="0.3">
      <c r="B34" t="s">
        <v>4</v>
      </c>
      <c r="J34" s="4">
        <v>7857</v>
      </c>
      <c r="N34" s="4">
        <v>5294</v>
      </c>
      <c r="AM34" t="s">
        <v>62</v>
      </c>
      <c r="AN34" s="5" t="s">
        <v>90</v>
      </c>
    </row>
    <row r="35" spans="2:40" x14ac:dyDescent="0.3">
      <c r="B35" t="s">
        <v>63</v>
      </c>
      <c r="J35" s="4">
        <v>1511</v>
      </c>
      <c r="N35" s="4">
        <v>2406</v>
      </c>
    </row>
    <row r="36" spans="2:40" x14ac:dyDescent="0.3">
      <c r="B36" t="s">
        <v>64</v>
      </c>
      <c r="J36" s="4">
        <v>161</v>
      </c>
      <c r="N36" s="4">
        <v>443</v>
      </c>
    </row>
    <row r="37" spans="2:40" x14ac:dyDescent="0.3">
      <c r="B37" t="s">
        <v>65</v>
      </c>
      <c r="J37" s="4">
        <v>2620</v>
      </c>
      <c r="N37" s="4">
        <v>2248</v>
      </c>
    </row>
    <row r="38" spans="2:40" x14ac:dyDescent="0.3">
      <c r="B38" t="s">
        <v>66</v>
      </c>
      <c r="J38" s="4">
        <v>164</v>
      </c>
      <c r="N38" s="4">
        <v>192</v>
      </c>
    </row>
    <row r="39" spans="2:40" s="1" customFormat="1" x14ac:dyDescent="0.3">
      <c r="B39" s="1" t="s">
        <v>67</v>
      </c>
      <c r="J39" s="8">
        <f>SUM(J34:J38)</f>
        <v>12313</v>
      </c>
      <c r="N39" s="8">
        <f>SUM(N34:N38)</f>
        <v>10583</v>
      </c>
    </row>
    <row r="40" spans="2:40" x14ac:dyDescent="0.3">
      <c r="B40" t="s">
        <v>68</v>
      </c>
      <c r="J40" s="4">
        <v>3874</v>
      </c>
      <c r="N40" s="4">
        <v>3965</v>
      </c>
    </row>
    <row r="41" spans="2:40" x14ac:dyDescent="0.3">
      <c r="B41" t="s">
        <v>69</v>
      </c>
      <c r="J41" s="4">
        <v>356</v>
      </c>
      <c r="N41" s="4">
        <v>416</v>
      </c>
    </row>
    <row r="42" spans="2:40" x14ac:dyDescent="0.3">
      <c r="B42" t="s">
        <v>70</v>
      </c>
      <c r="J42" s="4">
        <v>235</v>
      </c>
      <c r="N42" s="4">
        <v>446</v>
      </c>
    </row>
    <row r="43" spans="2:40" s="1" customFormat="1" x14ac:dyDescent="0.3">
      <c r="B43" s="1" t="s">
        <v>71</v>
      </c>
      <c r="J43" s="8">
        <f>SUM(J40:J42)</f>
        <v>4465</v>
      </c>
      <c r="N43" s="8">
        <f>SUM(N40:N42)</f>
        <v>4827</v>
      </c>
    </row>
    <row r="44" spans="2:40" s="1" customFormat="1" x14ac:dyDescent="0.3">
      <c r="B44" s="1" t="s">
        <v>80</v>
      </c>
      <c r="J44" s="8">
        <f>J39+J43</f>
        <v>16778</v>
      </c>
      <c r="N44" s="8">
        <f>N39+N43</f>
        <v>15410</v>
      </c>
    </row>
    <row r="45" spans="2:40" x14ac:dyDescent="0.3">
      <c r="B45" t="s">
        <v>72</v>
      </c>
      <c r="J45" s="4">
        <v>981</v>
      </c>
      <c r="N45" s="4">
        <v>499</v>
      </c>
    </row>
    <row r="46" spans="2:40" x14ac:dyDescent="0.3">
      <c r="B46" t="s">
        <v>73</v>
      </c>
      <c r="J46" s="4">
        <v>1145</v>
      </c>
      <c r="N46" s="4">
        <v>835</v>
      </c>
    </row>
    <row r="47" spans="2:40" x14ac:dyDescent="0.3">
      <c r="B47" t="s">
        <v>74</v>
      </c>
      <c r="J47" s="4">
        <v>361</v>
      </c>
      <c r="N47" s="4">
        <v>917</v>
      </c>
    </row>
    <row r="48" spans="2:40" s="1" customFormat="1" x14ac:dyDescent="0.3">
      <c r="B48" s="1" t="s">
        <v>75</v>
      </c>
      <c r="J48" s="8">
        <f>SUM(J45:J47)</f>
        <v>2487</v>
      </c>
      <c r="N48" s="8">
        <f>SUM(N45:N47)</f>
        <v>2251</v>
      </c>
    </row>
    <row r="49" spans="2:36" x14ac:dyDescent="0.3">
      <c r="B49" t="s">
        <v>5</v>
      </c>
      <c r="J49" s="4">
        <v>4431</v>
      </c>
      <c r="N49" s="4">
        <v>4441</v>
      </c>
    </row>
    <row r="50" spans="2:36" x14ac:dyDescent="0.3">
      <c r="B50" t="s">
        <v>69</v>
      </c>
      <c r="J50" s="4">
        <v>324</v>
      </c>
      <c r="N50" s="4">
        <v>379</v>
      </c>
    </row>
    <row r="51" spans="2:36" x14ac:dyDescent="0.3">
      <c r="B51" t="s">
        <v>76</v>
      </c>
      <c r="J51" s="4">
        <v>395</v>
      </c>
      <c r="N51" s="4">
        <v>1777</v>
      </c>
    </row>
    <row r="52" spans="2:36" s="1" customFormat="1" x14ac:dyDescent="0.3">
      <c r="B52" s="1" t="s">
        <v>77</v>
      </c>
      <c r="J52" s="8">
        <f>SUM(J49:J51)</f>
        <v>5150</v>
      </c>
      <c r="N52" s="8">
        <f>SUM(N49:N51)</f>
        <v>6597</v>
      </c>
    </row>
    <row r="53" spans="2:36" s="1" customFormat="1" x14ac:dyDescent="0.3">
      <c r="B53" s="1" t="s">
        <v>78</v>
      </c>
      <c r="J53" s="8">
        <v>9141</v>
      </c>
      <c r="N53" s="8">
        <v>6562</v>
      </c>
    </row>
    <row r="54" spans="2:36" s="1" customFormat="1" x14ac:dyDescent="0.3">
      <c r="B54" s="1" t="s">
        <v>79</v>
      </c>
      <c r="J54" s="8">
        <f>J48+J52+J53</f>
        <v>16778</v>
      </c>
      <c r="N54" s="8">
        <f>N48+N52+N53</f>
        <v>15410</v>
      </c>
    </row>
    <row r="56" spans="2:36" s="1" customFormat="1" x14ac:dyDescent="0.3">
      <c r="B56" s="1" t="s">
        <v>81</v>
      </c>
      <c r="X56" s="8">
        <f>X21</f>
        <v>-5432</v>
      </c>
      <c r="Y56" s="8">
        <f>Y21</f>
        <v>-4747</v>
      </c>
      <c r="Z56" s="8">
        <f t="shared" ref="Z56:AJ56" si="70">Z21</f>
        <v>-2737.1781026800018</v>
      </c>
      <c r="AA56" s="8">
        <f t="shared" si="70"/>
        <v>-2431.7268265104008</v>
      </c>
      <c r="AB56" s="8">
        <f t="shared" si="70"/>
        <v>-2099.6875420206088</v>
      </c>
      <c r="AC56" s="8">
        <f t="shared" si="70"/>
        <v>-1692.1326230002155</v>
      </c>
      <c r="AD56" s="8">
        <f t="shared" si="70"/>
        <v>-1245.5839683298057</v>
      </c>
      <c r="AE56" s="8">
        <f t="shared" si="70"/>
        <v>-891.56180971139338</v>
      </c>
      <c r="AF56" s="8">
        <f t="shared" si="70"/>
        <v>-542.96295195620974</v>
      </c>
      <c r="AG56" s="8">
        <f t="shared" si="70"/>
        <v>-384.89977172942605</v>
      </c>
      <c r="AH56" s="8">
        <f t="shared" si="70"/>
        <v>-249.01865733726493</v>
      </c>
      <c r="AI56" s="8">
        <f t="shared" si="70"/>
        <v>-104.87427811854616</v>
      </c>
      <c r="AJ56" s="8">
        <f t="shared" si="70"/>
        <v>47.957629394745481</v>
      </c>
    </row>
    <row r="57" spans="2:36" x14ac:dyDescent="0.3">
      <c r="B57" t="s">
        <v>82</v>
      </c>
      <c r="X57" s="4">
        <v>937</v>
      </c>
      <c r="Y57" s="4">
        <v>1031</v>
      </c>
      <c r="Z57">
        <f>Y57*1.08</f>
        <v>1113.48</v>
      </c>
      <c r="AA57">
        <f t="shared" ref="AA57" si="71">Z57*1.08</f>
        <v>1202.5584000000001</v>
      </c>
      <c r="AB57">
        <f>AA57*1.07</f>
        <v>1286.7374880000002</v>
      </c>
      <c r="AC57">
        <f>AB57*1.06</f>
        <v>1363.9417372800003</v>
      </c>
      <c r="AD57">
        <f>AC57*1.05</f>
        <v>1432.1388241440004</v>
      </c>
      <c r="AE57">
        <f>AD57*1.04</f>
        <v>1489.4243771097604</v>
      </c>
      <c r="AF57">
        <f>AE57*1.03</f>
        <v>1534.1071084230532</v>
      </c>
      <c r="AG57">
        <f>AF57*1.02</f>
        <v>1564.7892505915142</v>
      </c>
      <c r="AH57">
        <f t="shared" ref="AH57:AJ57" si="72">AG57*1.02</f>
        <v>1596.0850356033445</v>
      </c>
      <c r="AI57">
        <f t="shared" si="72"/>
        <v>1628.0067363154114</v>
      </c>
      <c r="AJ57">
        <f t="shared" si="72"/>
        <v>1660.5668710417197</v>
      </c>
    </row>
    <row r="58" spans="2:36" x14ac:dyDescent="0.3">
      <c r="B58" t="s">
        <v>83</v>
      </c>
      <c r="X58" s="4">
        <v>821</v>
      </c>
      <c r="Y58" s="4">
        <v>692</v>
      </c>
      <c r="Z58">
        <f>Y58*0.85</f>
        <v>588.19999999999993</v>
      </c>
      <c r="AA58">
        <f t="shared" ref="AA58:AJ58" si="73">Z58*0.85</f>
        <v>499.96999999999991</v>
      </c>
      <c r="AB58">
        <f t="shared" si="73"/>
        <v>424.97449999999992</v>
      </c>
      <c r="AC58">
        <f t="shared" si="73"/>
        <v>361.22832499999993</v>
      </c>
      <c r="AD58">
        <f t="shared" si="73"/>
        <v>307.04407624999993</v>
      </c>
      <c r="AE58">
        <f t="shared" si="73"/>
        <v>260.98746481249992</v>
      </c>
      <c r="AF58">
        <f t="shared" si="73"/>
        <v>221.83934509062493</v>
      </c>
      <c r="AG58">
        <f t="shared" si="73"/>
        <v>188.56344332703119</v>
      </c>
      <c r="AH58">
        <f t="shared" si="73"/>
        <v>160.27892682797651</v>
      </c>
      <c r="AI58">
        <f t="shared" si="73"/>
        <v>136.23708780378001</v>
      </c>
      <c r="AJ58">
        <f t="shared" si="73"/>
        <v>115.80152463321301</v>
      </c>
    </row>
    <row r="59" spans="2:36" x14ac:dyDescent="0.3">
      <c r="B59" t="s">
        <v>84</v>
      </c>
      <c r="X59" s="4">
        <v>0</v>
      </c>
      <c r="Y59" s="4">
        <v>112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2:36" x14ac:dyDescent="0.3">
      <c r="B60" t="s">
        <v>65</v>
      </c>
      <c r="X60" s="4">
        <v>107</v>
      </c>
      <c r="Y60" s="4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2:36" x14ac:dyDescent="0.3">
      <c r="B61" t="s">
        <v>85</v>
      </c>
      <c r="X61" s="4">
        <v>115</v>
      </c>
      <c r="Y61" s="4">
        <v>28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2:36" x14ac:dyDescent="0.3">
      <c r="B62" t="s">
        <v>64</v>
      </c>
      <c r="X62" s="4">
        <v>-59</v>
      </c>
      <c r="Y62" s="4">
        <v>-282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2:36" x14ac:dyDescent="0.3">
      <c r="B63" t="s">
        <v>65</v>
      </c>
      <c r="X63" s="4">
        <v>-1604</v>
      </c>
      <c r="Y63" s="4">
        <v>307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3">
      <c r="B64" t="s">
        <v>86</v>
      </c>
      <c r="X64" s="4">
        <v>-146</v>
      </c>
      <c r="Y64" s="4">
        <v>-221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2:140" x14ac:dyDescent="0.3">
      <c r="B65" t="s">
        <v>72</v>
      </c>
      <c r="X65" s="4">
        <v>105</v>
      </c>
      <c r="Y65" s="4">
        <v>-572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2:140" x14ac:dyDescent="0.3">
      <c r="B66" t="s">
        <v>74</v>
      </c>
      <c r="X66" s="4">
        <v>149</v>
      </c>
      <c r="Y66" s="4">
        <v>1619</v>
      </c>
      <c r="Z66">
        <v>0</v>
      </c>
      <c r="AA66">
        <f t="shared" ref="AA66:AJ66" si="74">Z66*0.8</f>
        <v>0</v>
      </c>
      <c r="AB66">
        <f t="shared" si="74"/>
        <v>0</v>
      </c>
      <c r="AC66">
        <f t="shared" si="74"/>
        <v>0</v>
      </c>
      <c r="AD66">
        <f t="shared" si="74"/>
        <v>0</v>
      </c>
      <c r="AE66">
        <f t="shared" si="74"/>
        <v>0</v>
      </c>
      <c r="AF66">
        <f t="shared" si="74"/>
        <v>0</v>
      </c>
      <c r="AG66">
        <f t="shared" si="74"/>
        <v>0</v>
      </c>
      <c r="AH66">
        <f t="shared" si="74"/>
        <v>0</v>
      </c>
      <c r="AI66">
        <f t="shared" si="74"/>
        <v>0</v>
      </c>
      <c r="AJ66">
        <f t="shared" si="74"/>
        <v>0</v>
      </c>
    </row>
    <row r="67" spans="2:140" x14ac:dyDescent="0.3">
      <c r="B67" t="s">
        <v>87</v>
      </c>
      <c r="X67" s="4">
        <v>141</v>
      </c>
      <c r="Y67" s="4">
        <v>316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2:140" s="1" customFormat="1" x14ac:dyDescent="0.3">
      <c r="B68" s="1" t="s">
        <v>88</v>
      </c>
      <c r="X68" s="8">
        <f>X56+SUM(X57:X67)</f>
        <v>-4866</v>
      </c>
      <c r="Y68" s="8">
        <f>Y56+SUM(Y57:Y67)</f>
        <v>-1717</v>
      </c>
      <c r="Z68" s="8">
        <f t="shared" ref="Z68:AJ68" si="75">Z56+SUM(Z57:Z67)</f>
        <v>-1035.4981026800019</v>
      </c>
      <c r="AA68" s="8">
        <f t="shared" si="75"/>
        <v>-729.19842651040062</v>
      </c>
      <c r="AB68" s="8">
        <f t="shared" si="75"/>
        <v>-387.9755540206088</v>
      </c>
      <c r="AC68" s="8">
        <f t="shared" si="75"/>
        <v>33.037439279784849</v>
      </c>
      <c r="AD68" s="8">
        <f t="shared" si="75"/>
        <v>493.59893206419474</v>
      </c>
      <c r="AE68" s="8">
        <f t="shared" si="75"/>
        <v>858.85003221086686</v>
      </c>
      <c r="AF68" s="8">
        <f t="shared" si="75"/>
        <v>1212.9835015574683</v>
      </c>
      <c r="AG68" s="8">
        <f t="shared" si="75"/>
        <v>1368.4529221891194</v>
      </c>
      <c r="AH68" s="8">
        <f t="shared" si="75"/>
        <v>1507.3453050940561</v>
      </c>
      <c r="AI68" s="8">
        <f t="shared" si="75"/>
        <v>1659.3695460006452</v>
      </c>
      <c r="AJ68" s="8">
        <f t="shared" si="75"/>
        <v>1824.3260250696781</v>
      </c>
    </row>
    <row r="69" spans="2:140" x14ac:dyDescent="0.3">
      <c r="B69" t="s">
        <v>68</v>
      </c>
      <c r="X69" s="4">
        <v>1026</v>
      </c>
      <c r="Y69" s="4">
        <v>1141</v>
      </c>
      <c r="Z69" s="4">
        <f>Y69*1.05</f>
        <v>1198.05</v>
      </c>
      <c r="AA69" s="4">
        <f>Z69*1.03</f>
        <v>1233.9915000000001</v>
      </c>
      <c r="AB69" s="4">
        <f>AA69*1.02</f>
        <v>1258.6713300000001</v>
      </c>
      <c r="AC69" s="4">
        <f>AB69*1.01</f>
        <v>1271.2580433000001</v>
      </c>
      <c r="AD69" s="4">
        <f t="shared" ref="AD69:AJ69" si="76">AC69*1.01</f>
        <v>1283.9706237330001</v>
      </c>
      <c r="AE69" s="4">
        <f t="shared" si="76"/>
        <v>1296.8103299703303</v>
      </c>
      <c r="AF69" s="4">
        <f t="shared" si="76"/>
        <v>1309.7784332700335</v>
      </c>
      <c r="AG69" s="4">
        <f t="shared" si="76"/>
        <v>1322.8762176027337</v>
      </c>
      <c r="AH69" s="4">
        <f t="shared" si="76"/>
        <v>1336.1049797787612</v>
      </c>
      <c r="AI69" s="4">
        <f t="shared" si="76"/>
        <v>1349.4660295765489</v>
      </c>
      <c r="AJ69" s="4">
        <f t="shared" si="76"/>
        <v>1362.9606898723143</v>
      </c>
    </row>
    <row r="70" spans="2:140" s="1" customFormat="1" x14ac:dyDescent="0.3">
      <c r="B70" s="1" t="s">
        <v>89</v>
      </c>
      <c r="X70" s="8">
        <f>X68-X69</f>
        <v>-5892</v>
      </c>
      <c r="Y70" s="8">
        <f>Y68-Y69</f>
        <v>-2858</v>
      </c>
      <c r="Z70" s="8">
        <f t="shared" ref="Z70:AJ70" si="77">Z68-Z69</f>
        <v>-2233.5481026800016</v>
      </c>
      <c r="AA70" s="8">
        <f t="shared" si="77"/>
        <v>-1963.1899265104007</v>
      </c>
      <c r="AB70" s="8">
        <f t="shared" si="77"/>
        <v>-1646.6468840206089</v>
      </c>
      <c r="AC70" s="8">
        <f t="shared" si="77"/>
        <v>-1238.2206040202152</v>
      </c>
      <c r="AD70" s="8">
        <f t="shared" si="77"/>
        <v>-790.3716916688054</v>
      </c>
      <c r="AE70" s="8">
        <f t="shared" si="77"/>
        <v>-437.9602977594634</v>
      </c>
      <c r="AF70" s="8">
        <f t="shared" si="77"/>
        <v>-96.794931712565131</v>
      </c>
      <c r="AG70" s="8">
        <f t="shared" si="77"/>
        <v>45.576704586385631</v>
      </c>
      <c r="AH70" s="8">
        <f t="shared" si="77"/>
        <v>171.24032531529497</v>
      </c>
      <c r="AI70" s="8">
        <f t="shared" si="77"/>
        <v>309.90351642409632</v>
      </c>
      <c r="AJ70" s="8">
        <f t="shared" si="77"/>
        <v>461.36533519736372</v>
      </c>
      <c r="AK70" s="1">
        <f>AJ70*(1+$AN$26)</f>
        <v>456.75168184539007</v>
      </c>
      <c r="AL70" s="1">
        <f t="shared" ref="AL70:CW70" si="78">AK70*(1+$AN$26)</f>
        <v>452.18416502693617</v>
      </c>
      <c r="AM70" s="1">
        <f t="shared" si="78"/>
        <v>447.66232337666679</v>
      </c>
      <c r="AN70" s="1">
        <f t="shared" si="78"/>
        <v>443.18570014290015</v>
      </c>
      <c r="AO70" s="1">
        <f t="shared" si="78"/>
        <v>438.75384314147112</v>
      </c>
      <c r="AP70" s="1">
        <f t="shared" si="78"/>
        <v>434.3663047100564</v>
      </c>
      <c r="AQ70" s="1">
        <f t="shared" si="78"/>
        <v>430.02264166295583</v>
      </c>
      <c r="AR70" s="1">
        <f t="shared" si="78"/>
        <v>425.72241524632625</v>
      </c>
      <c r="AS70" s="1">
        <f t="shared" si="78"/>
        <v>421.46519109386298</v>
      </c>
      <c r="AT70" s="1">
        <f t="shared" si="78"/>
        <v>417.25053918292434</v>
      </c>
      <c r="AU70" s="1">
        <f t="shared" si="78"/>
        <v>413.07803379109509</v>
      </c>
      <c r="AV70" s="1">
        <f t="shared" si="78"/>
        <v>408.94725345318415</v>
      </c>
      <c r="AW70" s="1">
        <f t="shared" si="78"/>
        <v>404.85778091865228</v>
      </c>
      <c r="AX70" s="1">
        <f t="shared" si="78"/>
        <v>400.80920310946573</v>
      </c>
      <c r="AY70" s="1">
        <f t="shared" si="78"/>
        <v>396.80111107837109</v>
      </c>
      <c r="AZ70" s="1">
        <f t="shared" si="78"/>
        <v>392.83309996758737</v>
      </c>
      <c r="BA70" s="1">
        <f t="shared" si="78"/>
        <v>388.90476896791148</v>
      </c>
      <c r="BB70" s="1">
        <f t="shared" si="78"/>
        <v>385.01572127823238</v>
      </c>
      <c r="BC70" s="1">
        <f t="shared" si="78"/>
        <v>381.16556406545004</v>
      </c>
      <c r="BD70" s="1">
        <f t="shared" si="78"/>
        <v>377.35390842479552</v>
      </c>
      <c r="BE70" s="1">
        <f t="shared" si="78"/>
        <v>373.58036934054758</v>
      </c>
      <c r="BF70" s="1">
        <f t="shared" si="78"/>
        <v>369.84456564714208</v>
      </c>
      <c r="BG70" s="1">
        <f t="shared" si="78"/>
        <v>366.14611999067063</v>
      </c>
      <c r="BH70" s="1">
        <f t="shared" si="78"/>
        <v>362.48465879076394</v>
      </c>
      <c r="BI70" s="1">
        <f t="shared" si="78"/>
        <v>358.85981220285629</v>
      </c>
      <c r="BJ70" s="1">
        <f t="shared" si="78"/>
        <v>355.27121408082775</v>
      </c>
      <c r="BK70" s="1">
        <f t="shared" si="78"/>
        <v>351.71850194001945</v>
      </c>
      <c r="BL70" s="1">
        <f t="shared" si="78"/>
        <v>348.20131692061926</v>
      </c>
      <c r="BM70" s="1">
        <f t="shared" si="78"/>
        <v>344.71930375141307</v>
      </c>
      <c r="BN70" s="1">
        <f t="shared" si="78"/>
        <v>341.27211071389894</v>
      </c>
      <c r="BO70" s="1">
        <f t="shared" si="78"/>
        <v>337.85938960675992</v>
      </c>
      <c r="BP70" s="1">
        <f t="shared" si="78"/>
        <v>334.48079571069229</v>
      </c>
      <c r="BQ70" s="1">
        <f t="shared" si="78"/>
        <v>331.13598775358537</v>
      </c>
      <c r="BR70" s="1">
        <f t="shared" si="78"/>
        <v>327.82462787604953</v>
      </c>
      <c r="BS70" s="1">
        <f t="shared" si="78"/>
        <v>324.54638159728904</v>
      </c>
      <c r="BT70" s="1">
        <f t="shared" si="78"/>
        <v>321.30091778131617</v>
      </c>
      <c r="BU70" s="1">
        <f t="shared" si="78"/>
        <v>318.08790860350302</v>
      </c>
      <c r="BV70" s="1">
        <f t="shared" si="78"/>
        <v>314.907029517468</v>
      </c>
      <c r="BW70" s="1">
        <f t="shared" si="78"/>
        <v>311.75795922229332</v>
      </c>
      <c r="BX70" s="1">
        <f t="shared" si="78"/>
        <v>308.64037963007041</v>
      </c>
      <c r="BY70" s="1">
        <f t="shared" si="78"/>
        <v>305.5539758337697</v>
      </c>
      <c r="BZ70" s="1">
        <f t="shared" si="78"/>
        <v>302.49843607543198</v>
      </c>
      <c r="CA70" s="1">
        <f t="shared" si="78"/>
        <v>299.47345171467765</v>
      </c>
      <c r="CB70" s="1">
        <f t="shared" si="78"/>
        <v>296.4787171975309</v>
      </c>
      <c r="CC70" s="1">
        <f t="shared" si="78"/>
        <v>293.51393002555557</v>
      </c>
      <c r="CD70" s="1">
        <f t="shared" si="78"/>
        <v>290.5787907253</v>
      </c>
      <c r="CE70" s="1">
        <f t="shared" si="78"/>
        <v>287.673002818047</v>
      </c>
      <c r="CF70" s="1">
        <f t="shared" si="78"/>
        <v>284.79627278986652</v>
      </c>
      <c r="CG70" s="1">
        <f t="shared" si="78"/>
        <v>281.94831006196785</v>
      </c>
      <c r="CH70" s="1">
        <f t="shared" si="78"/>
        <v>279.12882696134818</v>
      </c>
      <c r="CI70" s="1">
        <f t="shared" si="78"/>
        <v>276.33753869173472</v>
      </c>
      <c r="CJ70" s="1">
        <f t="shared" si="78"/>
        <v>273.57416330481738</v>
      </c>
      <c r="CK70" s="1">
        <f t="shared" si="78"/>
        <v>270.8384216717692</v>
      </c>
      <c r="CL70" s="1">
        <f t="shared" si="78"/>
        <v>268.13003745505148</v>
      </c>
      <c r="CM70" s="1">
        <f t="shared" si="78"/>
        <v>265.44873708050096</v>
      </c>
      <c r="CN70" s="1">
        <f t="shared" si="78"/>
        <v>262.79424970969598</v>
      </c>
      <c r="CO70" s="1">
        <f t="shared" si="78"/>
        <v>260.16630721259901</v>
      </c>
      <c r="CP70" s="1">
        <f t="shared" si="78"/>
        <v>257.56464414047304</v>
      </c>
      <c r="CQ70" s="1">
        <f t="shared" si="78"/>
        <v>254.98899769906831</v>
      </c>
      <c r="CR70" s="1">
        <f t="shared" si="78"/>
        <v>252.43910772207761</v>
      </c>
      <c r="CS70" s="1">
        <f t="shared" si="78"/>
        <v>249.91471664485684</v>
      </c>
      <c r="CT70" s="1">
        <f t="shared" si="78"/>
        <v>247.41556947840826</v>
      </c>
      <c r="CU70" s="1">
        <f t="shared" si="78"/>
        <v>244.94141378362417</v>
      </c>
      <c r="CV70" s="1">
        <f t="shared" si="78"/>
        <v>242.49199964578793</v>
      </c>
      <c r="CW70" s="1">
        <f t="shared" si="78"/>
        <v>240.06707964933005</v>
      </c>
      <c r="CX70" s="1">
        <f t="shared" ref="CX70:EJ70" si="79">CW70*(1+$AN$26)</f>
        <v>237.66640885283675</v>
      </c>
      <c r="CY70" s="1">
        <f t="shared" si="79"/>
        <v>235.28974476430838</v>
      </c>
      <c r="CZ70" s="1">
        <f t="shared" si="79"/>
        <v>232.93684731666531</v>
      </c>
      <c r="DA70" s="1">
        <f t="shared" si="79"/>
        <v>230.60747884349865</v>
      </c>
      <c r="DB70" s="1">
        <f t="shared" si="79"/>
        <v>228.30140405506367</v>
      </c>
      <c r="DC70" s="1">
        <f t="shared" si="79"/>
        <v>226.01839001451305</v>
      </c>
      <c r="DD70" s="1">
        <f t="shared" si="79"/>
        <v>223.75820611436791</v>
      </c>
      <c r="DE70" s="1">
        <f t="shared" si="79"/>
        <v>221.52062405322422</v>
      </c>
      <c r="DF70" s="1">
        <f t="shared" si="79"/>
        <v>219.30541781269199</v>
      </c>
      <c r="DG70" s="1">
        <f t="shared" si="79"/>
        <v>217.11236363456507</v>
      </c>
      <c r="DH70" s="1">
        <f t="shared" si="79"/>
        <v>214.94123999821943</v>
      </c>
      <c r="DI70" s="1">
        <f t="shared" si="79"/>
        <v>212.79182759823723</v>
      </c>
      <c r="DJ70" s="1">
        <f t="shared" si="79"/>
        <v>210.66390932225485</v>
      </c>
      <c r="DK70" s="1">
        <f t="shared" si="79"/>
        <v>208.5572702290323</v>
      </c>
      <c r="DL70" s="1">
        <f t="shared" si="79"/>
        <v>206.47169752674196</v>
      </c>
      <c r="DM70" s="1">
        <f t="shared" si="79"/>
        <v>204.40698055147453</v>
      </c>
      <c r="DN70" s="1">
        <f t="shared" si="79"/>
        <v>202.36291074595979</v>
      </c>
      <c r="DO70" s="1">
        <f t="shared" si="79"/>
        <v>200.33928163850018</v>
      </c>
      <c r="DP70" s="1">
        <f t="shared" si="79"/>
        <v>198.33588882211518</v>
      </c>
      <c r="DQ70" s="1">
        <f t="shared" si="79"/>
        <v>196.35252993389403</v>
      </c>
      <c r="DR70" s="1">
        <f t="shared" si="79"/>
        <v>194.38900463455508</v>
      </c>
      <c r="DS70" s="1">
        <f t="shared" si="79"/>
        <v>192.44511458820952</v>
      </c>
      <c r="DT70" s="1">
        <f t="shared" si="79"/>
        <v>190.52066344232742</v>
      </c>
      <c r="DU70" s="1">
        <f t="shared" si="79"/>
        <v>188.61545680790414</v>
      </c>
      <c r="DV70" s="1">
        <f t="shared" si="79"/>
        <v>186.7293022398251</v>
      </c>
      <c r="DW70" s="1">
        <f t="shared" si="79"/>
        <v>184.86200921742684</v>
      </c>
      <c r="DX70" s="1">
        <f t="shared" si="79"/>
        <v>183.01338912525259</v>
      </c>
      <c r="DY70" s="1">
        <f t="shared" si="79"/>
        <v>181.18325523400006</v>
      </c>
      <c r="DZ70" s="1">
        <f t="shared" si="79"/>
        <v>179.37142268166005</v>
      </c>
      <c r="EA70" s="1">
        <f t="shared" si="79"/>
        <v>177.57770845484345</v>
      </c>
      <c r="EB70" s="1">
        <f t="shared" si="79"/>
        <v>175.80193137029502</v>
      </c>
      <c r="EC70" s="1">
        <f t="shared" si="79"/>
        <v>174.04391205659206</v>
      </c>
      <c r="ED70" s="1">
        <f t="shared" si="79"/>
        <v>172.30347293602614</v>
      </c>
      <c r="EE70" s="1">
        <f t="shared" si="79"/>
        <v>170.58043820666589</v>
      </c>
      <c r="EF70" s="1">
        <f t="shared" si="79"/>
        <v>168.87463382459921</v>
      </c>
      <c r="EG70" s="1">
        <f t="shared" si="79"/>
        <v>167.18588748635321</v>
      </c>
      <c r="EH70" s="1">
        <f t="shared" si="79"/>
        <v>165.51402861148966</v>
      </c>
      <c r="EI70" s="1">
        <f t="shared" si="79"/>
        <v>163.85888832537478</v>
      </c>
      <c r="EJ70" s="1">
        <f t="shared" si="79"/>
        <v>162.22029944212102</v>
      </c>
    </row>
    <row r="73" spans="2:140" x14ac:dyDescent="0.3">
      <c r="AN73" s="4">
        <f>NPV(AN27,Z70:EJ70)</f>
        <v>-4496.5824251783361</v>
      </c>
    </row>
    <row r="74" spans="2:140" x14ac:dyDescent="0.3">
      <c r="AN74" s="4">
        <f>Main!D8</f>
        <v>3259</v>
      </c>
    </row>
    <row r="75" spans="2:140" x14ac:dyDescent="0.3">
      <c r="AN75" s="4">
        <f>AN73+AN74</f>
        <v>-1237.5824251783361</v>
      </c>
    </row>
    <row r="76" spans="2:140" x14ac:dyDescent="0.3">
      <c r="AN76" s="12">
        <f>AN75/AJ22</f>
        <v>-1.1697376419454972</v>
      </c>
    </row>
    <row r="77" spans="2:140" x14ac:dyDescent="0.3">
      <c r="AN77" s="12">
        <f>Main!D3</f>
        <v>11.96</v>
      </c>
    </row>
    <row r="78" spans="2:140" x14ac:dyDescent="0.3">
      <c r="AN78" s="11">
        <f>AN76/AN77-1</f>
        <v>-1.0978041506643392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2025-02-21T14:09:56Z</dcterms:created>
  <dcterms:modified xsi:type="dcterms:W3CDTF">2025-04-24T11:52:46Z</dcterms:modified>
</cp:coreProperties>
</file>