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A765BD90-E259-4427-A569-0CB3A2031F79}" xr6:coauthVersionLast="47" xr6:coauthVersionMax="47" xr10:uidLastSave="{00000000-0000-0000-0000-000000000000}"/>
  <bookViews>
    <workbookView xWindow="-108" yWindow="-108" windowWidth="23256" windowHeight="12576" activeTab="1" xr2:uid="{7785D2BD-1134-4E1E-8E32-DCB36011BAE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2" l="1"/>
  <c r="AB5" i="2" s="1"/>
  <c r="AC5" i="2" s="1"/>
  <c r="AD5" i="2" s="1"/>
  <c r="AE5" i="2" s="1"/>
  <c r="AF5" i="2" s="1"/>
  <c r="Z5" i="2"/>
  <c r="Z8" i="2" s="1"/>
  <c r="Z9" i="2" s="1"/>
  <c r="Z13" i="2" s="1"/>
  <c r="AA8" i="2"/>
  <c r="AA9" i="2" s="1"/>
  <c r="AI31" i="2"/>
  <c r="AI28" i="2"/>
  <c r="AF17" i="2"/>
  <c r="AE17" i="2"/>
  <c r="AD17" i="2"/>
  <c r="AC17" i="2"/>
  <c r="AB17" i="2"/>
  <c r="AA17" i="2"/>
  <c r="Z17" i="2"/>
  <c r="Y17" i="2"/>
  <c r="X17" i="2"/>
  <c r="X18" i="2" s="1"/>
  <c r="W19" i="2"/>
  <c r="W17" i="2"/>
  <c r="W18" i="2" s="1"/>
  <c r="W20" i="2" s="1"/>
  <c r="W22" i="2" s="1"/>
  <c r="X16" i="2"/>
  <c r="Y16" i="2" s="1"/>
  <c r="Z16" i="2" s="1"/>
  <c r="AA16" i="2" s="1"/>
  <c r="AB16" i="2" s="1"/>
  <c r="AC16" i="2" s="1"/>
  <c r="AD16" i="2" s="1"/>
  <c r="AE16" i="2" s="1"/>
  <c r="AF16" i="2" s="1"/>
  <c r="W16" i="2"/>
  <c r="X14" i="2"/>
  <c r="Y14" i="2" s="1"/>
  <c r="Z14" i="2" s="1"/>
  <c r="AA14" i="2" s="1"/>
  <c r="AB14" i="2" s="1"/>
  <c r="AC14" i="2" s="1"/>
  <c r="AD14" i="2" s="1"/>
  <c r="AE14" i="2" s="1"/>
  <c r="AF14" i="2" s="1"/>
  <c r="W14" i="2"/>
  <c r="AF12" i="2"/>
  <c r="AE12" i="2"/>
  <c r="AD12" i="2"/>
  <c r="AC12" i="2"/>
  <c r="AB12" i="2"/>
  <c r="AA12" i="2"/>
  <c r="Z12" i="2"/>
  <c r="Y12" i="2"/>
  <c r="X12" i="2"/>
  <c r="X13" i="2" s="1"/>
  <c r="W12" i="2"/>
  <c r="W13" i="2" s="1"/>
  <c r="AB11" i="2"/>
  <c r="AC11" i="2" s="1"/>
  <c r="AD11" i="2" s="1"/>
  <c r="AE11" i="2" s="1"/>
  <c r="AF11" i="2" s="1"/>
  <c r="AA11" i="2"/>
  <c r="Z11" i="2"/>
  <c r="Y11" i="2"/>
  <c r="X11" i="2"/>
  <c r="W11" i="2"/>
  <c r="AA10" i="2"/>
  <c r="AB10" i="2" s="1"/>
  <c r="AC10" i="2" s="1"/>
  <c r="AD10" i="2" s="1"/>
  <c r="AE10" i="2" s="1"/>
  <c r="AF10" i="2" s="1"/>
  <c r="Z10" i="2"/>
  <c r="Y10" i="2"/>
  <c r="X10" i="2"/>
  <c r="W10" i="2"/>
  <c r="Y9" i="2"/>
  <c r="Y13" i="2" s="1"/>
  <c r="X9" i="2"/>
  <c r="W9" i="2"/>
  <c r="Y8" i="2"/>
  <c r="X8" i="2"/>
  <c r="W8" i="2"/>
  <c r="Y5" i="2"/>
  <c r="X5" i="2"/>
  <c r="W5" i="2"/>
  <c r="V31" i="2"/>
  <c r="V30" i="2"/>
  <c r="V29" i="2"/>
  <c r="X26" i="2"/>
  <c r="V26" i="2"/>
  <c r="V19" i="2"/>
  <c r="V16" i="2"/>
  <c r="V15" i="2"/>
  <c r="V14" i="2"/>
  <c r="V11" i="2"/>
  <c r="V10" i="2"/>
  <c r="V8" i="2"/>
  <c r="V5" i="2"/>
  <c r="V17" i="2"/>
  <c r="V12" i="2"/>
  <c r="N34" i="2"/>
  <c r="M34" i="2"/>
  <c r="L34" i="2"/>
  <c r="K34" i="2"/>
  <c r="N33" i="2"/>
  <c r="M33" i="2"/>
  <c r="L33" i="2"/>
  <c r="K33" i="2"/>
  <c r="N32" i="2"/>
  <c r="M32" i="2"/>
  <c r="L32" i="2"/>
  <c r="K32" i="2"/>
  <c r="N31" i="2"/>
  <c r="M31" i="2"/>
  <c r="L31" i="2"/>
  <c r="K31" i="2"/>
  <c r="N30" i="2"/>
  <c r="M30" i="2"/>
  <c r="L30" i="2"/>
  <c r="K30" i="2"/>
  <c r="N29" i="2"/>
  <c r="M29" i="2"/>
  <c r="L29" i="2"/>
  <c r="K29" i="2"/>
  <c r="N26" i="2"/>
  <c r="M26" i="2"/>
  <c r="L26" i="2"/>
  <c r="K26" i="2"/>
  <c r="N20" i="2"/>
  <c r="N22" i="2" s="1"/>
  <c r="M20" i="2"/>
  <c r="M22" i="2" s="1"/>
  <c r="L20" i="2"/>
  <c r="L22" i="2" s="1"/>
  <c r="K20" i="2"/>
  <c r="K22" i="2" s="1"/>
  <c r="N19" i="2"/>
  <c r="M19" i="2"/>
  <c r="L19" i="2"/>
  <c r="K19" i="2"/>
  <c r="N8" i="2"/>
  <c r="N9" i="2" s="1"/>
  <c r="M8" i="2"/>
  <c r="L8" i="2"/>
  <c r="K8" i="2"/>
  <c r="K9" i="2" s="1"/>
  <c r="N12" i="2"/>
  <c r="M12" i="2"/>
  <c r="L12" i="2"/>
  <c r="K12" i="2"/>
  <c r="N11" i="2"/>
  <c r="M11" i="2"/>
  <c r="L11" i="2"/>
  <c r="K11" i="2"/>
  <c r="N10" i="2"/>
  <c r="M10" i="2"/>
  <c r="L10" i="2"/>
  <c r="K10" i="2"/>
  <c r="M9" i="2"/>
  <c r="L9" i="2"/>
  <c r="L5" i="2"/>
  <c r="N5" i="2"/>
  <c r="M5" i="2"/>
  <c r="K5" i="2"/>
  <c r="J31" i="2"/>
  <c r="I31" i="2"/>
  <c r="H31" i="2"/>
  <c r="G31" i="2"/>
  <c r="I30" i="2"/>
  <c r="H30" i="2"/>
  <c r="G30" i="2"/>
  <c r="J30" i="2"/>
  <c r="I26" i="2"/>
  <c r="H26" i="2"/>
  <c r="G26" i="2"/>
  <c r="J26" i="2"/>
  <c r="I34" i="2"/>
  <c r="H34" i="2"/>
  <c r="G34" i="2"/>
  <c r="F34" i="2"/>
  <c r="E34" i="2"/>
  <c r="D34" i="2"/>
  <c r="C34" i="2"/>
  <c r="I33" i="2"/>
  <c r="H33" i="2"/>
  <c r="G33" i="2"/>
  <c r="F33" i="2"/>
  <c r="E33" i="2"/>
  <c r="D33" i="2"/>
  <c r="C33" i="2"/>
  <c r="I32" i="2"/>
  <c r="H32" i="2"/>
  <c r="G32" i="2"/>
  <c r="F32" i="2"/>
  <c r="E32" i="2"/>
  <c r="D32" i="2"/>
  <c r="C32" i="2"/>
  <c r="J29" i="2"/>
  <c r="I29" i="2"/>
  <c r="H29" i="2"/>
  <c r="G29" i="2"/>
  <c r="F29" i="2"/>
  <c r="E29" i="2"/>
  <c r="D29" i="2"/>
  <c r="C29" i="2"/>
  <c r="J19" i="2"/>
  <c r="J16" i="2"/>
  <c r="J15" i="2"/>
  <c r="J14" i="2"/>
  <c r="J11" i="2"/>
  <c r="J10" i="2"/>
  <c r="J12" i="2" s="1"/>
  <c r="J8" i="2"/>
  <c r="J5" i="2"/>
  <c r="J17" i="2"/>
  <c r="F19" i="2"/>
  <c r="F16" i="2"/>
  <c r="F15" i="2"/>
  <c r="F14" i="2"/>
  <c r="F11" i="2"/>
  <c r="F10" i="2"/>
  <c r="F8" i="2"/>
  <c r="F5" i="2"/>
  <c r="F17" i="2"/>
  <c r="F12" i="2"/>
  <c r="C17" i="2"/>
  <c r="C12" i="2"/>
  <c r="C9" i="2"/>
  <c r="G17" i="2"/>
  <c r="G12" i="2"/>
  <c r="G9" i="2"/>
  <c r="D17" i="2"/>
  <c r="D12" i="2"/>
  <c r="D9" i="2"/>
  <c r="H17" i="2"/>
  <c r="H12" i="2"/>
  <c r="H9" i="2"/>
  <c r="E17" i="2"/>
  <c r="E12" i="2"/>
  <c r="E9" i="2"/>
  <c r="I17" i="2"/>
  <c r="I12" i="2"/>
  <c r="I9" i="2"/>
  <c r="Q16" i="2"/>
  <c r="Q17" i="2" s="1"/>
  <c r="Q12" i="2"/>
  <c r="Q9" i="2"/>
  <c r="Q29" i="2" s="1"/>
  <c r="R34" i="2"/>
  <c r="R33" i="2"/>
  <c r="R32" i="2"/>
  <c r="R31" i="2"/>
  <c r="R30" i="2"/>
  <c r="R29" i="2"/>
  <c r="R26" i="2"/>
  <c r="R16" i="2"/>
  <c r="R17" i="2" s="1"/>
  <c r="R12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T25" i="2"/>
  <c r="T24" i="2"/>
  <c r="U34" i="2"/>
  <c r="U33" i="2"/>
  <c r="U32" i="2"/>
  <c r="U31" i="2"/>
  <c r="U30" i="2"/>
  <c r="U29" i="2"/>
  <c r="U28" i="2"/>
  <c r="U25" i="2"/>
  <c r="S16" i="2"/>
  <c r="S17" i="2"/>
  <c r="S12" i="2"/>
  <c r="S8" i="2"/>
  <c r="S5" i="2"/>
  <c r="T17" i="2"/>
  <c r="T12" i="2"/>
  <c r="T8" i="2"/>
  <c r="T5" i="2"/>
  <c r="U17" i="2"/>
  <c r="U12" i="2"/>
  <c r="U8" i="2"/>
  <c r="U3" i="2"/>
  <c r="U27" i="2" s="1"/>
  <c r="D9" i="1"/>
  <c r="D8" i="1"/>
  <c r="D7" i="1"/>
  <c r="D6" i="1"/>
  <c r="D5" i="1"/>
  <c r="D4" i="1"/>
  <c r="F3" i="1"/>
  <c r="Y18" i="2" l="1"/>
  <c r="Z18" i="2"/>
  <c r="AA13" i="2"/>
  <c r="AA18" i="2" s="1"/>
  <c r="AA19" i="2" s="1"/>
  <c r="X20" i="2"/>
  <c r="X22" i="2" s="1"/>
  <c r="X19" i="2"/>
  <c r="X33" i="2" s="1"/>
  <c r="Y19" i="2"/>
  <c r="Y33" i="2" s="1"/>
  <c r="W34" i="2"/>
  <c r="W33" i="2"/>
  <c r="Y31" i="2"/>
  <c r="X31" i="2"/>
  <c r="W31" i="2"/>
  <c r="Y30" i="2"/>
  <c r="X30" i="2"/>
  <c r="W30" i="2"/>
  <c r="X29" i="2"/>
  <c r="X32" i="2"/>
  <c r="W29" i="2"/>
  <c r="W32" i="2"/>
  <c r="W26" i="2"/>
  <c r="V9" i="2"/>
  <c r="V13" i="2" s="1"/>
  <c r="N13" i="2"/>
  <c r="N18" i="2" s="1"/>
  <c r="L13" i="2"/>
  <c r="L18" i="2" s="1"/>
  <c r="M13" i="2"/>
  <c r="M18" i="2" s="1"/>
  <c r="K13" i="2"/>
  <c r="K18" i="2" s="1"/>
  <c r="J9" i="2"/>
  <c r="J13" i="2" s="1"/>
  <c r="F9" i="2"/>
  <c r="F13" i="2" s="1"/>
  <c r="F18" i="2" s="1"/>
  <c r="F20" i="2" s="1"/>
  <c r="F22" i="2" s="1"/>
  <c r="C13" i="2"/>
  <c r="C18" i="2" s="1"/>
  <c r="C20" i="2" s="1"/>
  <c r="C22" i="2" s="1"/>
  <c r="G13" i="2"/>
  <c r="G18" i="2" s="1"/>
  <c r="G20" i="2" s="1"/>
  <c r="G22" i="2" s="1"/>
  <c r="D13" i="2"/>
  <c r="D18" i="2" s="1"/>
  <c r="D20" i="2" s="1"/>
  <c r="D22" i="2" s="1"/>
  <c r="H13" i="2"/>
  <c r="H18" i="2" s="1"/>
  <c r="H20" i="2" s="1"/>
  <c r="H22" i="2" s="1"/>
  <c r="E13" i="2"/>
  <c r="E18" i="2" s="1"/>
  <c r="E20" i="2" s="1"/>
  <c r="E22" i="2" s="1"/>
  <c r="I13" i="2"/>
  <c r="I18" i="2" s="1"/>
  <c r="I20" i="2" s="1"/>
  <c r="I22" i="2" s="1"/>
  <c r="Q13" i="2"/>
  <c r="Q32" i="2" s="1"/>
  <c r="R9" i="2"/>
  <c r="R13" i="2" s="1"/>
  <c r="R18" i="2" s="1"/>
  <c r="R20" i="2" s="1"/>
  <c r="R22" i="2" s="1"/>
  <c r="S26" i="2"/>
  <c r="U5" i="2"/>
  <c r="U24" i="2"/>
  <c r="S9" i="2"/>
  <c r="S13" i="2" s="1"/>
  <c r="S18" i="2" s="1"/>
  <c r="S20" i="2" s="1"/>
  <c r="S22" i="2" s="1"/>
  <c r="T9" i="2"/>
  <c r="T13" i="2" s="1"/>
  <c r="T18" i="2" s="1"/>
  <c r="T20" i="2" s="1"/>
  <c r="T22" i="2" s="1"/>
  <c r="Z19" i="2" l="1"/>
  <c r="Z33" i="2" s="1"/>
  <c r="AB8" i="2"/>
  <c r="AB9" i="2" s="1"/>
  <c r="AB13" i="2" s="1"/>
  <c r="AB18" i="2" s="1"/>
  <c r="AB19" i="2" s="1"/>
  <c r="AB33" i="2" s="1"/>
  <c r="AA33" i="2"/>
  <c r="AA20" i="2"/>
  <c r="X34" i="2"/>
  <c r="Y20" i="2"/>
  <c r="Y22" i="2" s="1"/>
  <c r="Z31" i="2"/>
  <c r="Z30" i="2"/>
  <c r="V18" i="2"/>
  <c r="V32" i="2"/>
  <c r="Y26" i="2"/>
  <c r="Y34" i="2"/>
  <c r="Y32" i="2"/>
  <c r="Y29" i="2"/>
  <c r="J18" i="2"/>
  <c r="J32" i="2"/>
  <c r="Q18" i="2"/>
  <c r="Q20" i="2" s="1"/>
  <c r="U9" i="2"/>
  <c r="U26" i="2"/>
  <c r="AC8" i="2" l="1"/>
  <c r="AC9" i="2" s="1"/>
  <c r="AC13" i="2" s="1"/>
  <c r="AC18" i="2" s="1"/>
  <c r="Z20" i="2"/>
  <c r="Z22" i="2" s="1"/>
  <c r="AB20" i="2"/>
  <c r="AB22" i="2" s="1"/>
  <c r="AA22" i="2"/>
  <c r="AA31" i="2"/>
  <c r="AA30" i="2"/>
  <c r="V20" i="2"/>
  <c r="V33" i="2"/>
  <c r="Z32" i="2"/>
  <c r="Z29" i="2"/>
  <c r="Z26" i="2"/>
  <c r="J20" i="2"/>
  <c r="J33" i="2"/>
  <c r="Q33" i="2"/>
  <c r="Q22" i="2"/>
  <c r="Q34" i="2"/>
  <c r="U13" i="2"/>
  <c r="U18" i="2" s="1"/>
  <c r="U20" i="2" s="1"/>
  <c r="U22" i="2" s="1"/>
  <c r="AD8" i="2" l="1"/>
  <c r="AD9" i="2" s="1"/>
  <c r="AD13" i="2" s="1"/>
  <c r="AD18" i="2" s="1"/>
  <c r="AC19" i="2"/>
  <c r="AC33" i="2" s="1"/>
  <c r="AC20" i="2"/>
  <c r="AC22" i="2" s="1"/>
  <c r="Z34" i="2"/>
  <c r="AB31" i="2"/>
  <c r="AB30" i="2"/>
  <c r="V22" i="2"/>
  <c r="V34" i="2"/>
  <c r="AA32" i="2"/>
  <c r="AA29" i="2"/>
  <c r="AA34" i="2"/>
  <c r="AA26" i="2"/>
  <c r="J22" i="2"/>
  <c r="J34" i="2"/>
  <c r="AF8" i="2" l="1"/>
  <c r="AF9" i="2" s="1"/>
  <c r="AF13" i="2" s="1"/>
  <c r="AF18" i="2" s="1"/>
  <c r="AF19" i="2" s="1"/>
  <c r="AF33" i="2" s="1"/>
  <c r="AE8" i="2"/>
  <c r="AE9" i="2" s="1"/>
  <c r="AE13" i="2" s="1"/>
  <c r="AE18" i="2" s="1"/>
  <c r="AD19" i="2"/>
  <c r="AD33" i="2" s="1"/>
  <c r="AD20" i="2"/>
  <c r="AD22" i="2" s="1"/>
  <c r="AC31" i="2"/>
  <c r="AC30" i="2"/>
  <c r="AB32" i="2"/>
  <c r="AB29" i="2"/>
  <c r="AB26" i="2"/>
  <c r="AB34" i="2"/>
  <c r="AF20" i="2" l="1"/>
  <c r="AE19" i="2"/>
  <c r="AE33" i="2" s="1"/>
  <c r="AE20" i="2"/>
  <c r="AE22" i="2" s="1"/>
  <c r="AF22" i="2"/>
  <c r="AG20" i="2"/>
  <c r="AD31" i="2"/>
  <c r="AD30" i="2"/>
  <c r="AC32" i="2"/>
  <c r="AC29" i="2"/>
  <c r="AC26" i="2"/>
  <c r="AC34" i="2"/>
  <c r="AH20" i="2" l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AF31" i="2"/>
  <c r="AE31" i="2"/>
  <c r="AF30" i="2"/>
  <c r="AE30" i="2"/>
  <c r="AD26" i="2"/>
  <c r="AD34" i="2"/>
  <c r="AD32" i="2"/>
  <c r="AD29" i="2"/>
  <c r="AI27" i="2" l="1"/>
  <c r="AI29" i="2" s="1"/>
  <c r="AI30" i="2" s="1"/>
  <c r="AI32" i="2" s="1"/>
  <c r="AE26" i="2"/>
  <c r="AE34" i="2"/>
  <c r="AE32" i="2"/>
  <c r="AE29" i="2"/>
  <c r="AF34" i="2" l="1"/>
  <c r="AF26" i="2"/>
  <c r="AF32" i="2"/>
  <c r="AF29" i="2"/>
</calcChain>
</file>

<file path=xl/sharedStrings.xml><?xml version="1.0" encoding="utf-8"?>
<sst xmlns="http://schemas.openxmlformats.org/spreadsheetml/2006/main" count="67" uniqueCount="60">
  <si>
    <t>RKLB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</si>
  <si>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</si>
  <si>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</si>
  <si>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</si>
  <si>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</si>
  <si>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</si>
  <si>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</si>
  <si>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</si>
  <si>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</si>
  <si>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</si>
  <si>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</si>
  <si>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Q424</t>
  </si>
  <si>
    <t>Product revenue</t>
  </si>
  <si>
    <t>Service revenue</t>
  </si>
  <si>
    <t>Total revenue</t>
  </si>
  <si>
    <t>Product cost</t>
  </si>
  <si>
    <t>Service cost</t>
  </si>
  <si>
    <t>Total cost of sales</t>
  </si>
  <si>
    <t>R&amp;D</t>
  </si>
  <si>
    <t>SG&amp;A</t>
  </si>
  <si>
    <t>Total operating expense</t>
  </si>
  <si>
    <t>Operating profit</t>
  </si>
  <si>
    <t>Interest expense</t>
  </si>
  <si>
    <t>Finance expense</t>
  </si>
  <si>
    <t>Other income</t>
  </si>
  <si>
    <t>Total other expense</t>
  </si>
  <si>
    <t>Pretax profit</t>
  </si>
  <si>
    <t>Taxes</t>
  </si>
  <si>
    <t>Net profit</t>
  </si>
  <si>
    <t>EPS</t>
  </si>
  <si>
    <t>Gross profit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</si>
  <si>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</si>
  <si>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</si>
  <si>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</si>
  <si>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</si>
  <si>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</si>
  <si>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</si>
  <si>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</si>
  <si>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</si>
  <si>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</si>
  <si>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</si>
  <si>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</si>
  <si>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Revenue y/y</t>
  </si>
  <si>
    <t>Product Margin</t>
  </si>
  <si>
    <t>Service Margin</t>
  </si>
  <si>
    <t>R&amp;D y/y</t>
  </si>
  <si>
    <t>SG&amp;A y/y</t>
  </si>
  <si>
    <t>Operating Margin</t>
  </si>
  <si>
    <t>Net Margin</t>
  </si>
  <si>
    <t>Gross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</si>
  <si>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</si>
  <si>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</si>
  <si>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</si>
  <si>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</si>
  <si>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</si>
  <si>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</si>
  <si>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</si>
  <si>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</si>
  <si>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</si>
  <si>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Heavily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</si>
</sst>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right"/>
    </xf>
    <xf numFmtId="14" fontId="3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/>
    <xf numFmtId="3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4" fontId="2" fillId="2" borderId="1" xfId="0" applyNumberFormat="1" applyFont="1" applyFill="1" applyBorder="1"/>
    <xf numFmtId="3" fontId="1" fillId="2" borderId="1" xfId="0" applyNumberFormat="1" applyFont="1" applyFill="1" applyBorder="1"/>
    <xf numFmtId="9" fontId="2" fillId="2" borderId="1" xfId="0" applyNumberFormat="1" applyFont="1" applyFill="1" applyBorder="1"/>
    <xf numFmtId="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</xdr:colOff>
      <xdr:row>0</xdr:row>
      <xdr:rowOff>0</xdr:rowOff>
    </xdr:from>
    <xdr:to>
      <xdr:col>21</xdr:col>
      <xdr:colOff>30480</xdr:colOff>
      <xdr:row>39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A6A21A-3492-3AC4-3FB4-114FC7726EA4}"/>
            </a:ext>
          </a:extLst>
        </xdr:cNvPr>
        <xdr:cNvCxnSpPr/>
      </xdr:nvCxnSpPr>
      <xdr:spPr>
        <a:xfrm>
          <a:off x="13647420" y="0"/>
          <a:ext cx="0" cy="7239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</xdr:colOff>
      <xdr:row>0</xdr:row>
      <xdr:rowOff>0</xdr:rowOff>
    </xdr:from>
    <xdr:to>
      <xdr:col>10</xdr:col>
      <xdr:colOff>22860</xdr:colOff>
      <xdr:row>39</xdr:row>
      <xdr:rowOff>53340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D82BBA3-1965-070F-449C-9816C72BD04D}"/>
            </a:ext>
          </a:extLst>
        </xdr:cNvPr>
        <xdr:cNvCxnSpPr/>
      </xdr:nvCxnSpPr>
      <xdr:spPr>
        <a:xfrm>
          <a:off x="6934200" y="0"/>
          <a:ext cx="0" cy="71856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56A3-7E21-46FB-8D89-17D1D428DDB4}">
  <dimension ref="B2:G9"/>
  <sheetViews>
    <sheetView workbookViewId="0">
      <selection activeCell="D4" sqref="D4"/>
    </sheetView>
  </sheetViews>
  <sheetFormatPr defaultRowHeight="14.4" x14ac:dyDescent="0.3"/>
  <cols>
    <col min="1" max="4" width="8.88671875" style="1"/>
    <col min="5" max="7" width="13.109375" style="3" customWidth="1"/>
    <col min="8" max="16384" width="8.88671875" style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2" t="s">
        <v>0</v>
      </c>
      <c r="C3" s="1" t="s">
        <v>1</v>
      </c>
      <c r="D3" s="5">
        <v>20.36</v>
      </c>
      <c r="E3" s="4">
        <v>45771</v>
      </c>
      <c r="F3" s="4">
        <f ca="1">TODAY()</f>
        <v>45771</v>
      </c>
      <c r="G3" s="4">
        <v>45785</v>
      </c>
    </row>
    <row r="4" spans="2:7" x14ac:dyDescent="0.3">
      <c r="C4" s="1" t="s">
        <v>2</v>
      </c>
      <c r="D4" s="6">
        <f>453.5</f>
        <v>453.5</v>
      </c>
      <c r="E4" s="3" t="s">
        <v>11</v>
      </c>
    </row>
    <row r="5" spans="2:7" x14ac:dyDescent="0.3">
      <c r="C5" s="1" t="s">
        <v>3</v>
      </c>
      <c r="D5" s="6">
        <f>D3*D4</f>
        <v>9233.26</v>
      </c>
    </row>
    <row r="6" spans="2:7" x14ac:dyDescent="0.3">
      <c r="C6" s="1" t="s">
        <v>4</v>
      </c>
      <c r="D6" s="6">
        <f>271+147.9+60.7</f>
        <v>479.59999999999997</v>
      </c>
      <c r="E6" s="3" t="s">
        <v>11</v>
      </c>
    </row>
    <row r="7" spans="2:7" x14ac:dyDescent="0.3">
      <c r="C7" s="1" t="s">
        <v>5</v>
      </c>
      <c r="D7" s="6">
        <f>12+345.6+44</f>
        <v>401.6</v>
      </c>
      <c r="E7" s="3" t="s">
        <v>11</v>
      </c>
    </row>
    <row r="8" spans="2:7" x14ac:dyDescent="0.3">
      <c r="C8" s="1" t="s">
        <v>6</v>
      </c>
      <c r="D8" s="6">
        <f>D6-D7</f>
        <v>77.999999999999943</v>
      </c>
    </row>
    <row r="9" spans="2:7" x14ac:dyDescent="0.3">
      <c r="C9" s="1" t="s">
        <v>7</v>
      </c>
      <c r="D9" s="6">
        <f>D5-D8</f>
        <v>9155.26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1FAA-67BC-4AC9-9052-F0705C3700A8}">
  <dimension ref="B2:EJ34"/>
  <sheetViews>
    <sheetView tabSelected="1" workbookViewId="0">
      <pane xSplit="2" ySplit="2" topLeftCell="U8" activePane="bottomRight" state="frozen"/>
      <selection pane="topRight" activeCell="C1" sqref="C1"/>
      <selection pane="bottomLeft" activeCell="A3" sqref="A3"/>
      <selection pane="bottomRight" activeCell="AI33" sqref="AI33"/>
    </sheetView>
  </sheetViews>
  <sheetFormatPr defaultRowHeight="14.4" x14ac:dyDescent="0.3"/>
  <cols>
    <col min="1" max="1" width="8.88671875" style="1"/>
    <col min="2" max="2" width="20.77734375" style="1" bestFit="1" customWidth="1"/>
    <col min="3" max="33" width="8.88671875" style="1"/>
    <col min="34" max="34" width="11.88671875" style="1" bestFit="1" customWidth="1"/>
    <col min="35" max="35" width="16.6640625" style="1" customWidth="1"/>
    <col min="36" max="16384" width="8.88671875" style="1"/>
  </cols>
  <sheetData>
    <row r="2" spans="2:32" x14ac:dyDescent="0.3">
      <c r="C2" s="7" t="s">
        <v>31</v>
      </c>
      <c r="D2" s="7" t="s">
        <v>32</v>
      </c>
      <c r="E2" s="7" t="s">
        <v>33</v>
      </c>
      <c r="F2" s="7" t="s">
        <v>34</v>
      </c>
      <c r="G2" s="7" t="s">
        <v>35</v>
      </c>
      <c r="H2" s="7" t="s">
        <v>36</v>
      </c>
      <c r="I2" s="7" t="s">
        <v>37</v>
      </c>
      <c r="J2" s="7" t="s">
        <v>11</v>
      </c>
      <c r="K2" s="7" t="s">
        <v>38</v>
      </c>
      <c r="L2" s="7" t="s">
        <v>39</v>
      </c>
      <c r="M2" s="7" t="s">
        <v>40</v>
      </c>
      <c r="N2" s="7" t="s">
        <v>41</v>
      </c>
      <c r="P2" s="1">
        <v>2019</v>
      </c>
      <c r="Q2" s="1">
        <v>2020</v>
      </c>
      <c r="R2" s="1">
        <v>2021</v>
      </c>
      <c r="S2" s="1">
        <v>2022</v>
      </c>
      <c r="T2" s="1">
        <v>2023</v>
      </c>
      <c r="U2" s="1">
        <v>2024</v>
      </c>
      <c r="V2" s="1">
        <v>2025</v>
      </c>
      <c r="W2" s="1">
        <v>2026</v>
      </c>
      <c r="X2" s="1">
        <v>2027</v>
      </c>
      <c r="Y2" s="1">
        <v>2028</v>
      </c>
      <c r="Z2" s="1">
        <v>2029</v>
      </c>
      <c r="AA2" s="1">
        <v>2030</v>
      </c>
      <c r="AB2" s="1">
        <v>2031</v>
      </c>
      <c r="AC2" s="1">
        <v>2032</v>
      </c>
      <c r="AD2" s="1">
        <v>2033</v>
      </c>
      <c r="AE2" s="1">
        <v>2034</v>
      </c>
      <c r="AF2" s="1">
        <v>2035</v>
      </c>
    </row>
    <row r="3" spans="2:32" x14ac:dyDescent="0.3">
      <c r="B3" s="1" t="s">
        <v>12</v>
      </c>
      <c r="R3" s="6"/>
      <c r="S3" s="6">
        <v>133.1</v>
      </c>
      <c r="T3" s="6">
        <v>156.6</v>
      </c>
      <c r="U3" s="6">
        <f>289.9</f>
        <v>289.89999999999998</v>
      </c>
      <c r="V3" s="6"/>
    </row>
    <row r="4" spans="2:32" x14ac:dyDescent="0.3">
      <c r="B4" s="1" t="s">
        <v>13</v>
      </c>
      <c r="R4" s="6"/>
      <c r="S4" s="6">
        <v>77.900000000000006</v>
      </c>
      <c r="T4" s="6">
        <v>88</v>
      </c>
      <c r="U4" s="6">
        <v>146.4</v>
      </c>
      <c r="V4" s="6"/>
    </row>
    <row r="5" spans="2:32" s="2" customFormat="1" x14ac:dyDescent="0.3">
      <c r="B5" s="2" t="s">
        <v>14</v>
      </c>
      <c r="C5" s="9">
        <v>54.9</v>
      </c>
      <c r="D5" s="9">
        <v>62</v>
      </c>
      <c r="E5" s="9">
        <v>67.7</v>
      </c>
      <c r="F5" s="9">
        <f>T5-E5-D5-C5</f>
        <v>59.999999999999979</v>
      </c>
      <c r="G5" s="9">
        <v>92.8</v>
      </c>
      <c r="H5" s="9">
        <v>106.3</v>
      </c>
      <c r="I5" s="9">
        <v>104.8</v>
      </c>
      <c r="J5" s="9">
        <f>U5-I5-H5-G5</f>
        <v>132.39999999999992</v>
      </c>
      <c r="K5" s="9">
        <f>G5*1.5</f>
        <v>139.19999999999999</v>
      </c>
      <c r="L5" s="9">
        <f>H5*1.4</f>
        <v>148.82</v>
      </c>
      <c r="M5" s="9">
        <f t="shared" ref="L5:N5" si="0">I5*1.5</f>
        <v>157.19999999999999</v>
      </c>
      <c r="N5" s="9">
        <f>J5*1.4</f>
        <v>185.35999999999987</v>
      </c>
      <c r="Q5" s="9">
        <v>35.200000000000003</v>
      </c>
      <c r="R5" s="9">
        <v>62.2</v>
      </c>
      <c r="S5" s="9">
        <f>S3+S4</f>
        <v>211</v>
      </c>
      <c r="T5" s="9">
        <f>T3+T4</f>
        <v>244.6</v>
      </c>
      <c r="U5" s="9">
        <f>U3+U4</f>
        <v>436.29999999999995</v>
      </c>
      <c r="V5" s="9">
        <f>SUM(K5:N5)</f>
        <v>630.57999999999981</v>
      </c>
      <c r="W5" s="9">
        <f>V5*1.4</f>
        <v>882.81199999999967</v>
      </c>
      <c r="X5" s="9">
        <f>W5*1.35</f>
        <v>1191.7961999999995</v>
      </c>
      <c r="Y5" s="9">
        <f>X5*1.3</f>
        <v>1549.3350599999994</v>
      </c>
      <c r="Z5" s="9">
        <f>Y5*1.25</f>
        <v>1936.6688249999993</v>
      </c>
      <c r="AA5" s="9">
        <f t="shared" ref="AA5:AF5" si="1">Z5*1.25</f>
        <v>2420.836031249999</v>
      </c>
      <c r="AB5" s="9">
        <f t="shared" si="1"/>
        <v>3026.0450390624987</v>
      </c>
      <c r="AC5" s="9">
        <f t="shared" si="1"/>
        <v>3782.5562988281235</v>
      </c>
      <c r="AD5" s="9">
        <f t="shared" si="1"/>
        <v>4728.1953735351544</v>
      </c>
      <c r="AE5" s="9">
        <f t="shared" si="1"/>
        <v>5910.2442169189435</v>
      </c>
      <c r="AF5" s="9">
        <f t="shared" si="1"/>
        <v>7387.8052711486798</v>
      </c>
    </row>
    <row r="6" spans="2:32" x14ac:dyDescent="0.3">
      <c r="B6" s="1" t="s">
        <v>15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Q6" s="6"/>
      <c r="R6" s="6"/>
      <c r="S6" s="6">
        <v>105</v>
      </c>
      <c r="T6" s="6">
        <v>115.3</v>
      </c>
      <c r="U6" s="6">
        <v>213.8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2:32" x14ac:dyDescent="0.3">
      <c r="B7" s="1" t="s">
        <v>16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Q7" s="6"/>
      <c r="R7" s="6"/>
      <c r="S7" s="6">
        <v>87</v>
      </c>
      <c r="T7" s="6">
        <v>77.8</v>
      </c>
      <c r="U7" s="6">
        <v>106.2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2:32" x14ac:dyDescent="0.3">
      <c r="B8" s="1" t="s">
        <v>17</v>
      </c>
      <c r="C8" s="6">
        <v>48.5</v>
      </c>
      <c r="D8" s="6">
        <v>47.5</v>
      </c>
      <c r="E8" s="6">
        <v>52.7</v>
      </c>
      <c r="F8" s="6">
        <f>T8-E8-D8-C8</f>
        <v>44.399999999999977</v>
      </c>
      <c r="G8" s="6">
        <v>68.599999999999994</v>
      </c>
      <c r="H8" s="6">
        <v>79.099999999999994</v>
      </c>
      <c r="I8" s="6">
        <v>76.8</v>
      </c>
      <c r="J8" s="6">
        <f>U8-I8-H8-G8</f>
        <v>95.5</v>
      </c>
      <c r="K8" s="6">
        <f>K5*0.72</f>
        <v>100.22399999999999</v>
      </c>
      <c r="L8" s="6">
        <f t="shared" ref="L8:N8" si="2">L5*0.72</f>
        <v>107.15039999999999</v>
      </c>
      <c r="M8" s="6">
        <f t="shared" si="2"/>
        <v>113.18399999999998</v>
      </c>
      <c r="N8" s="6">
        <f>N5*0.71</f>
        <v>131.6055999999999</v>
      </c>
      <c r="Q8" s="6">
        <v>47</v>
      </c>
      <c r="R8" s="6">
        <v>64.099999999999994</v>
      </c>
      <c r="S8" s="6">
        <f>S6+S7</f>
        <v>192</v>
      </c>
      <c r="T8" s="6">
        <f>T6+T7</f>
        <v>193.1</v>
      </c>
      <c r="U8" s="6">
        <f>U6+U7</f>
        <v>320</v>
      </c>
      <c r="V8" s="6">
        <f>SUM(K8:N8)</f>
        <v>452.16399999999987</v>
      </c>
      <c r="W8" s="6">
        <f>W5*0.71</f>
        <v>626.79651999999976</v>
      </c>
      <c r="X8" s="6">
        <f>X5*0.7</f>
        <v>834.25733999999966</v>
      </c>
      <c r="Y8" s="6">
        <f t="shared" ref="Y8:AF8" si="3">Y5*0.7</f>
        <v>1084.5345419999994</v>
      </c>
      <c r="Z8" s="6">
        <f t="shared" si="3"/>
        <v>1355.6681774999995</v>
      </c>
      <c r="AA8" s="6">
        <f t="shared" si="3"/>
        <v>1694.5852218749992</v>
      </c>
      <c r="AB8" s="6">
        <f t="shared" si="3"/>
        <v>2118.2315273437489</v>
      </c>
      <c r="AC8" s="6">
        <f t="shared" si="3"/>
        <v>2647.7894091796861</v>
      </c>
      <c r="AD8" s="6">
        <f t="shared" si="3"/>
        <v>3309.7367614746081</v>
      </c>
      <c r="AE8" s="6">
        <f t="shared" si="3"/>
        <v>4137.1709518432599</v>
      </c>
      <c r="AF8" s="6">
        <f t="shared" si="3"/>
        <v>5171.4636898040753</v>
      </c>
    </row>
    <row r="9" spans="2:32" s="2" customFormat="1" x14ac:dyDescent="0.3">
      <c r="B9" s="2" t="s">
        <v>30</v>
      </c>
      <c r="C9" s="9">
        <f>C5-C8</f>
        <v>6.3999999999999986</v>
      </c>
      <c r="D9" s="9">
        <f>D5-D8</f>
        <v>14.5</v>
      </c>
      <c r="E9" s="9">
        <f>E5-E8</f>
        <v>15</v>
      </c>
      <c r="F9" s="9">
        <f>F5-F8</f>
        <v>15.600000000000001</v>
      </c>
      <c r="G9" s="9">
        <f>G5-G8</f>
        <v>24.200000000000003</v>
      </c>
      <c r="H9" s="9">
        <f>H5-H8</f>
        <v>27.200000000000003</v>
      </c>
      <c r="I9" s="9">
        <f>I5-I8</f>
        <v>28</v>
      </c>
      <c r="J9" s="9">
        <f>J5-J8</f>
        <v>36.89999999999992</v>
      </c>
      <c r="K9" s="9">
        <f t="shared" ref="K9:N9" si="4">K5-K8</f>
        <v>38.975999999999999</v>
      </c>
      <c r="L9" s="9">
        <f t="shared" si="4"/>
        <v>41.669600000000003</v>
      </c>
      <c r="M9" s="9">
        <f t="shared" si="4"/>
        <v>44.016000000000005</v>
      </c>
      <c r="N9" s="9">
        <f t="shared" si="4"/>
        <v>53.754399999999976</v>
      </c>
      <c r="Q9" s="9">
        <f>Q5-Q8</f>
        <v>-11.799999999999997</v>
      </c>
      <c r="R9" s="9">
        <f>R5-R8</f>
        <v>-1.8999999999999915</v>
      </c>
      <c r="S9" s="9">
        <f>S5-S8</f>
        <v>19</v>
      </c>
      <c r="T9" s="9">
        <f>T5-T8</f>
        <v>51.5</v>
      </c>
      <c r="U9" s="9">
        <f>U5-U8</f>
        <v>116.29999999999995</v>
      </c>
      <c r="V9" s="9">
        <f>V5-V8</f>
        <v>178.41599999999994</v>
      </c>
      <c r="W9" s="9">
        <f t="shared" ref="W9:AF9" si="5">W5-W8</f>
        <v>256.01547999999991</v>
      </c>
      <c r="X9" s="9">
        <f t="shared" si="5"/>
        <v>357.53885999999989</v>
      </c>
      <c r="Y9" s="9">
        <f t="shared" si="5"/>
        <v>464.80051800000001</v>
      </c>
      <c r="Z9" s="9">
        <f t="shared" si="5"/>
        <v>581.00064749999979</v>
      </c>
      <c r="AA9" s="9">
        <f t="shared" si="5"/>
        <v>726.25080937499979</v>
      </c>
      <c r="AB9" s="9">
        <f t="shared" si="5"/>
        <v>907.81351171874985</v>
      </c>
      <c r="AC9" s="9">
        <f t="shared" si="5"/>
        <v>1134.7668896484374</v>
      </c>
      <c r="AD9" s="9">
        <f t="shared" si="5"/>
        <v>1418.4586120605463</v>
      </c>
      <c r="AE9" s="9">
        <f t="shared" si="5"/>
        <v>1773.0732650756836</v>
      </c>
      <c r="AF9" s="9">
        <f t="shared" si="5"/>
        <v>2216.3415813446045</v>
      </c>
    </row>
    <row r="10" spans="2:32" x14ac:dyDescent="0.3">
      <c r="B10" s="1" t="s">
        <v>18</v>
      </c>
      <c r="C10" s="6">
        <v>23.9</v>
      </c>
      <c r="D10" s="6">
        <v>31</v>
      </c>
      <c r="E10" s="6">
        <v>26.6</v>
      </c>
      <c r="F10" s="6">
        <f t="shared" ref="F10:F11" si="6">T10-E10-D10-C10</f>
        <v>37.6</v>
      </c>
      <c r="G10" s="6">
        <v>38.5</v>
      </c>
      <c r="H10" s="6">
        <v>39.9</v>
      </c>
      <c r="I10" s="6">
        <v>47.7</v>
      </c>
      <c r="J10" s="6">
        <f t="shared" ref="J10:J11" si="7">U10-I10-H10-G10</f>
        <v>48.300000000000011</v>
      </c>
      <c r="K10" s="6">
        <f>G10*1.3</f>
        <v>50.050000000000004</v>
      </c>
      <c r="L10" s="6">
        <f t="shared" ref="L10:N10" si="8">H10*1.3</f>
        <v>51.87</v>
      </c>
      <c r="M10" s="6">
        <f t="shared" si="8"/>
        <v>62.010000000000005</v>
      </c>
      <c r="N10" s="6">
        <f t="shared" si="8"/>
        <v>62.79000000000002</v>
      </c>
      <c r="Q10" s="6">
        <v>19.100000000000001</v>
      </c>
      <c r="R10" s="6">
        <v>41.8</v>
      </c>
      <c r="S10" s="6">
        <v>65.2</v>
      </c>
      <c r="T10" s="6">
        <v>119.1</v>
      </c>
      <c r="U10" s="6">
        <v>174.4</v>
      </c>
      <c r="V10" s="6">
        <f t="shared" ref="V10:V11" si="9">SUM(K10:N10)</f>
        <v>226.72000000000003</v>
      </c>
      <c r="W10" s="6">
        <f>V10*1.2</f>
        <v>272.06400000000002</v>
      </c>
      <c r="X10" s="6">
        <f>W10*1.15</f>
        <v>312.87360000000001</v>
      </c>
      <c r="Y10" s="6">
        <f>X10*1.1</f>
        <v>344.16096000000005</v>
      </c>
      <c r="Z10" s="6">
        <f>Y10*1.05</f>
        <v>361.36900800000006</v>
      </c>
      <c r="AA10" s="6">
        <f t="shared" ref="AA10:AF10" si="10">Z10*1.05</f>
        <v>379.43745840000008</v>
      </c>
      <c r="AB10" s="6">
        <f t="shared" si="10"/>
        <v>398.40933132000009</v>
      </c>
      <c r="AC10" s="6">
        <f t="shared" si="10"/>
        <v>418.32979788600011</v>
      </c>
      <c r="AD10" s="6">
        <f t="shared" si="10"/>
        <v>439.24628778030012</v>
      </c>
      <c r="AE10" s="6">
        <f t="shared" si="10"/>
        <v>461.20860216931516</v>
      </c>
      <c r="AF10" s="6">
        <f t="shared" si="10"/>
        <v>484.26903227778092</v>
      </c>
    </row>
    <row r="11" spans="2:32" x14ac:dyDescent="0.3">
      <c r="B11" s="1" t="s">
        <v>19</v>
      </c>
      <c r="C11" s="6">
        <v>28.5</v>
      </c>
      <c r="D11" s="6">
        <v>28.7</v>
      </c>
      <c r="E11" s="6">
        <v>27.2</v>
      </c>
      <c r="F11" s="6">
        <f t="shared" si="6"/>
        <v>25.899999999999991</v>
      </c>
      <c r="G11" s="6">
        <v>28.7</v>
      </c>
      <c r="H11" s="6">
        <v>30.5</v>
      </c>
      <c r="I11" s="6">
        <v>32.200000000000003</v>
      </c>
      <c r="J11" s="6">
        <f t="shared" si="7"/>
        <v>40.199999999999989</v>
      </c>
      <c r="K11" s="6">
        <f>G11*1.5</f>
        <v>43.05</v>
      </c>
      <c r="L11" s="6">
        <f t="shared" ref="L11:N11" si="11">H11*1.5</f>
        <v>45.75</v>
      </c>
      <c r="M11" s="6">
        <f t="shared" si="11"/>
        <v>48.300000000000004</v>
      </c>
      <c r="N11" s="6">
        <f>J11*1.35</f>
        <v>54.269999999999989</v>
      </c>
      <c r="Q11" s="6">
        <v>24</v>
      </c>
      <c r="R11" s="6">
        <v>58.4</v>
      </c>
      <c r="S11" s="6">
        <v>89</v>
      </c>
      <c r="T11" s="6">
        <v>110.3</v>
      </c>
      <c r="U11" s="6">
        <v>131.6</v>
      </c>
      <c r="V11" s="6">
        <f t="shared" si="9"/>
        <v>191.36999999999998</v>
      </c>
      <c r="W11" s="6">
        <f>V11*1.3</f>
        <v>248.78099999999998</v>
      </c>
      <c r="X11" s="6">
        <f>W11*1.25</f>
        <v>310.97624999999999</v>
      </c>
      <c r="Y11" s="6">
        <f>X11*1.2</f>
        <v>373.17149999999998</v>
      </c>
      <c r="Z11" s="6">
        <f>Y11*1.1</f>
        <v>410.48865000000001</v>
      </c>
      <c r="AA11" s="6">
        <f>Z11*1.05</f>
        <v>431.01308250000005</v>
      </c>
      <c r="AB11" s="6">
        <f t="shared" ref="AB11:AF11" si="12">AA11*1.05</f>
        <v>452.56373662500005</v>
      </c>
      <c r="AC11" s="6">
        <f t="shared" si="12"/>
        <v>475.19192345625009</v>
      </c>
      <c r="AD11" s="6">
        <f t="shared" si="12"/>
        <v>498.9515196290626</v>
      </c>
      <c r="AE11" s="6">
        <f t="shared" si="12"/>
        <v>523.8990956105157</v>
      </c>
      <c r="AF11" s="6">
        <f t="shared" si="12"/>
        <v>550.09405039104149</v>
      </c>
    </row>
    <row r="12" spans="2:32" x14ac:dyDescent="0.3">
      <c r="B12" s="1" t="s">
        <v>20</v>
      </c>
      <c r="C12" s="6">
        <f>SUM(C10:C11)</f>
        <v>52.4</v>
      </c>
      <c r="D12" s="6">
        <f>SUM(D10:D11)</f>
        <v>59.7</v>
      </c>
      <c r="E12" s="6">
        <f>SUM(E10:E11)</f>
        <v>53.8</v>
      </c>
      <c r="F12" s="6">
        <f>SUM(F10:F11)</f>
        <v>63.499999999999993</v>
      </c>
      <c r="G12" s="6">
        <f>SUM(G10:G11)</f>
        <v>67.2</v>
      </c>
      <c r="H12" s="6">
        <f>SUM(H10:H11)</f>
        <v>70.400000000000006</v>
      </c>
      <c r="I12" s="6">
        <f>SUM(I10:I11)</f>
        <v>79.900000000000006</v>
      </c>
      <c r="J12" s="6">
        <f>SUM(J10:J11)</f>
        <v>88.5</v>
      </c>
      <c r="K12" s="6">
        <f t="shared" ref="K12:N12" si="13">SUM(K10:K11)</f>
        <v>93.1</v>
      </c>
      <c r="L12" s="6">
        <f t="shared" si="13"/>
        <v>97.62</v>
      </c>
      <c r="M12" s="6">
        <f t="shared" si="13"/>
        <v>110.31</v>
      </c>
      <c r="N12" s="6">
        <f t="shared" si="13"/>
        <v>117.06</v>
      </c>
      <c r="Q12" s="6">
        <f>SUM(Q10:Q11)</f>
        <v>43.1</v>
      </c>
      <c r="R12" s="6">
        <f>SUM(R10:R11)</f>
        <v>100.19999999999999</v>
      </c>
      <c r="S12" s="6">
        <f>SUM(S10:S11)</f>
        <v>154.19999999999999</v>
      </c>
      <c r="T12" s="6">
        <f>SUM(T10:T11)</f>
        <v>229.39999999999998</v>
      </c>
      <c r="U12" s="6">
        <f>SUM(U10:U11)</f>
        <v>306</v>
      </c>
      <c r="V12" s="6">
        <f>SUM(V10:V11)</f>
        <v>418.09000000000003</v>
      </c>
      <c r="W12" s="6">
        <f t="shared" ref="W12:AF12" si="14">SUM(W10:W11)</f>
        <v>520.84500000000003</v>
      </c>
      <c r="X12" s="6">
        <f t="shared" si="14"/>
        <v>623.84985000000006</v>
      </c>
      <c r="Y12" s="6">
        <f t="shared" si="14"/>
        <v>717.33246000000008</v>
      </c>
      <c r="Z12" s="6">
        <f t="shared" si="14"/>
        <v>771.85765800000013</v>
      </c>
      <c r="AA12" s="6">
        <f t="shared" si="14"/>
        <v>810.45054090000008</v>
      </c>
      <c r="AB12" s="6">
        <f t="shared" si="14"/>
        <v>850.97306794500014</v>
      </c>
      <c r="AC12" s="6">
        <f t="shared" si="14"/>
        <v>893.5217213422502</v>
      </c>
      <c r="AD12" s="6">
        <f t="shared" si="14"/>
        <v>938.19780740936267</v>
      </c>
      <c r="AE12" s="6">
        <f t="shared" si="14"/>
        <v>985.10769777983091</v>
      </c>
      <c r="AF12" s="6">
        <f t="shared" si="14"/>
        <v>1034.3630826688225</v>
      </c>
    </row>
    <row r="13" spans="2:32" s="2" customFormat="1" x14ac:dyDescent="0.3">
      <c r="B13" s="2" t="s">
        <v>21</v>
      </c>
      <c r="C13" s="9">
        <f>C9-C12</f>
        <v>-46</v>
      </c>
      <c r="D13" s="9">
        <f>D9-D12</f>
        <v>-45.2</v>
      </c>
      <c r="E13" s="9">
        <f>E9-E12</f>
        <v>-38.799999999999997</v>
      </c>
      <c r="F13" s="9">
        <f>F9-F12</f>
        <v>-47.899999999999991</v>
      </c>
      <c r="G13" s="9">
        <f>G9-G12</f>
        <v>-43</v>
      </c>
      <c r="H13" s="9">
        <f>H9-H12</f>
        <v>-43.2</v>
      </c>
      <c r="I13" s="9">
        <f>I9-I12</f>
        <v>-51.900000000000006</v>
      </c>
      <c r="J13" s="9">
        <f>J9-J12</f>
        <v>-51.60000000000008</v>
      </c>
      <c r="K13" s="9">
        <f t="shared" ref="K13:N13" si="15">K9-K12</f>
        <v>-54.123999999999995</v>
      </c>
      <c r="L13" s="9">
        <f t="shared" si="15"/>
        <v>-55.950400000000002</v>
      </c>
      <c r="M13" s="9">
        <f t="shared" si="15"/>
        <v>-66.293999999999997</v>
      </c>
      <c r="N13" s="9">
        <f t="shared" si="15"/>
        <v>-63.305600000000027</v>
      </c>
      <c r="Q13" s="9">
        <f>Q9-Q12</f>
        <v>-54.9</v>
      </c>
      <c r="R13" s="9">
        <f>R9-R12</f>
        <v>-102.09999999999998</v>
      </c>
      <c r="S13" s="9">
        <f>S9-S12</f>
        <v>-135.19999999999999</v>
      </c>
      <c r="T13" s="9">
        <f>T9-T12</f>
        <v>-177.89999999999998</v>
      </c>
      <c r="U13" s="9">
        <f>U9-U12</f>
        <v>-189.70000000000005</v>
      </c>
      <c r="V13" s="9">
        <f>V9-V12</f>
        <v>-239.67400000000009</v>
      </c>
      <c r="W13" s="9">
        <f t="shared" ref="W13:AF13" si="16">W9-W12</f>
        <v>-264.82952000000012</v>
      </c>
      <c r="X13" s="9">
        <f t="shared" si="16"/>
        <v>-266.31099000000017</v>
      </c>
      <c r="Y13" s="9">
        <f t="shared" si="16"/>
        <v>-252.53194200000007</v>
      </c>
      <c r="Z13" s="9">
        <f t="shared" si="16"/>
        <v>-190.85701050000034</v>
      </c>
      <c r="AA13" s="9">
        <f t="shared" si="16"/>
        <v>-84.199731525000288</v>
      </c>
      <c r="AB13" s="9">
        <f t="shared" si="16"/>
        <v>56.840443773749712</v>
      </c>
      <c r="AC13" s="9">
        <f t="shared" si="16"/>
        <v>241.24516830618722</v>
      </c>
      <c r="AD13" s="9">
        <f t="shared" si="16"/>
        <v>480.26080465118366</v>
      </c>
      <c r="AE13" s="9">
        <f t="shared" si="16"/>
        <v>787.96556729585268</v>
      </c>
      <c r="AF13" s="9">
        <f t="shared" si="16"/>
        <v>1181.978498675782</v>
      </c>
    </row>
    <row r="14" spans="2:32" x14ac:dyDescent="0.3">
      <c r="B14" s="1" t="s">
        <v>22</v>
      </c>
      <c r="C14" s="6">
        <v>0.7</v>
      </c>
      <c r="D14" s="6">
        <v>0.7</v>
      </c>
      <c r="E14" s="6">
        <v>0.1</v>
      </c>
      <c r="F14" s="6">
        <f t="shared" ref="F14:F16" si="17">T14-E14-D14-C14</f>
        <v>2.7</v>
      </c>
      <c r="G14" s="6">
        <v>0.9</v>
      </c>
      <c r="H14" s="6">
        <v>0.8</v>
      </c>
      <c r="I14" s="6">
        <v>0.5</v>
      </c>
      <c r="J14" s="6">
        <f t="shared" ref="J14:J16" si="18">U14-I14-H14-G14</f>
        <v>1.8000000000000003</v>
      </c>
      <c r="K14" s="6">
        <v>2</v>
      </c>
      <c r="L14" s="6">
        <v>2</v>
      </c>
      <c r="M14" s="6">
        <v>2</v>
      </c>
      <c r="N14" s="6">
        <v>2</v>
      </c>
      <c r="Q14" s="6">
        <v>-0.2</v>
      </c>
      <c r="R14" s="6">
        <v>6.1</v>
      </c>
      <c r="S14" s="6">
        <v>7.8</v>
      </c>
      <c r="T14" s="6">
        <v>4.2</v>
      </c>
      <c r="U14" s="6">
        <v>4</v>
      </c>
      <c r="V14" s="6">
        <f t="shared" ref="V14:V16" si="19">SUM(K14:N14)</f>
        <v>8</v>
      </c>
      <c r="W14" s="6">
        <f>V14*1.15</f>
        <v>9.1999999999999993</v>
      </c>
      <c r="X14" s="6">
        <f t="shared" ref="X14:AF14" si="20">W14*1.15</f>
        <v>10.579999999999998</v>
      </c>
      <c r="Y14" s="6">
        <f t="shared" si="20"/>
        <v>12.166999999999996</v>
      </c>
      <c r="Z14" s="6">
        <f t="shared" si="20"/>
        <v>13.992049999999995</v>
      </c>
      <c r="AA14" s="6">
        <f t="shared" si="20"/>
        <v>16.090857499999995</v>
      </c>
      <c r="AB14" s="6">
        <f t="shared" si="20"/>
        <v>18.504486124999993</v>
      </c>
      <c r="AC14" s="6">
        <f t="shared" si="20"/>
        <v>21.28015904374999</v>
      </c>
      <c r="AD14" s="6">
        <f t="shared" si="20"/>
        <v>24.472182900312486</v>
      </c>
      <c r="AE14" s="6">
        <f t="shared" si="20"/>
        <v>28.143010335359357</v>
      </c>
      <c r="AF14" s="6">
        <f t="shared" si="20"/>
        <v>32.36446188566326</v>
      </c>
    </row>
    <row r="15" spans="2:32" x14ac:dyDescent="0.3">
      <c r="B15" s="1" t="s">
        <v>23</v>
      </c>
      <c r="C15" s="6">
        <v>-0.1</v>
      </c>
      <c r="D15" s="6">
        <v>0.1</v>
      </c>
      <c r="E15" s="6">
        <v>-1.2</v>
      </c>
      <c r="F15" s="6">
        <f t="shared" si="17"/>
        <v>1.7</v>
      </c>
      <c r="G15" s="6">
        <v>-0.3</v>
      </c>
      <c r="H15" s="6">
        <v>0.3</v>
      </c>
      <c r="I15" s="6">
        <v>0.5</v>
      </c>
      <c r="J15" s="6">
        <f t="shared" si="18"/>
        <v>-0.39999999999999997</v>
      </c>
      <c r="K15" s="6">
        <v>0</v>
      </c>
      <c r="L15" s="6">
        <v>0</v>
      </c>
      <c r="M15" s="6">
        <v>0</v>
      </c>
      <c r="N15" s="6">
        <v>0</v>
      </c>
      <c r="Q15" s="6">
        <v>-2.4</v>
      </c>
      <c r="R15" s="6">
        <v>0.6</v>
      </c>
      <c r="S15" s="6">
        <v>4.4000000000000004</v>
      </c>
      <c r="T15" s="6">
        <v>0.5</v>
      </c>
      <c r="U15" s="6">
        <v>0.1</v>
      </c>
      <c r="V15" s="6">
        <f t="shared" si="19"/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2:32" x14ac:dyDescent="0.3">
      <c r="B16" s="1" t="s">
        <v>24</v>
      </c>
      <c r="C16" s="6">
        <v>-1.5</v>
      </c>
      <c r="D16" s="6">
        <v>-0.9</v>
      </c>
      <c r="E16" s="6">
        <v>0.4</v>
      </c>
      <c r="F16" s="6">
        <f t="shared" si="17"/>
        <v>-1.7000000000000006</v>
      </c>
      <c r="G16" s="6">
        <v>0.6</v>
      </c>
      <c r="H16" s="6">
        <v>-1.9</v>
      </c>
      <c r="I16" s="6">
        <v>-1.8</v>
      </c>
      <c r="J16" s="6">
        <f t="shared" si="18"/>
        <v>-1.3000000000000007</v>
      </c>
      <c r="K16" s="6">
        <v>-1</v>
      </c>
      <c r="L16" s="6">
        <v>-1</v>
      </c>
      <c r="M16" s="6">
        <v>-1</v>
      </c>
      <c r="N16" s="6">
        <v>-1</v>
      </c>
      <c r="Q16" s="6">
        <f>2.4-0.2</f>
        <v>2.1999999999999997</v>
      </c>
      <c r="R16" s="6">
        <f>15.3+0.8</f>
        <v>16.100000000000001</v>
      </c>
      <c r="S16" s="6">
        <f>-13.5-1</f>
        <v>-14.5</v>
      </c>
      <c r="T16" s="6">
        <v>-3.7</v>
      </c>
      <c r="U16" s="6">
        <v>-4.4000000000000004</v>
      </c>
      <c r="V16" s="6">
        <f t="shared" si="19"/>
        <v>-4</v>
      </c>
      <c r="W16" s="6">
        <f>V16*1.15</f>
        <v>-4.5999999999999996</v>
      </c>
      <c r="X16" s="6">
        <f t="shared" ref="X16:AF16" si="21">W16*1.15</f>
        <v>-5.2899999999999991</v>
      </c>
      <c r="Y16" s="6">
        <f t="shared" si="21"/>
        <v>-6.0834999999999981</v>
      </c>
      <c r="Z16" s="6">
        <f t="shared" si="21"/>
        <v>-6.9960249999999977</v>
      </c>
      <c r="AA16" s="6">
        <f t="shared" si="21"/>
        <v>-8.0454287499999975</v>
      </c>
      <c r="AB16" s="6">
        <f t="shared" si="21"/>
        <v>-9.2522430624999963</v>
      </c>
      <c r="AC16" s="6">
        <f t="shared" si="21"/>
        <v>-10.640079521874995</v>
      </c>
      <c r="AD16" s="6">
        <f t="shared" si="21"/>
        <v>-12.236091450156243</v>
      </c>
      <c r="AE16" s="6">
        <f t="shared" si="21"/>
        <v>-14.071505167679678</v>
      </c>
      <c r="AF16" s="6">
        <f t="shared" si="21"/>
        <v>-16.18223094283163</v>
      </c>
    </row>
    <row r="17" spans="2:140" x14ac:dyDescent="0.3">
      <c r="B17" s="1" t="s">
        <v>25</v>
      </c>
      <c r="C17" s="6">
        <f>SUM(C14:C16)</f>
        <v>-0.9</v>
      </c>
      <c r="D17" s="6">
        <f>SUM(D14:D16)</f>
        <v>-0.10000000000000009</v>
      </c>
      <c r="E17" s="6">
        <f>SUM(E14:E16)</f>
        <v>-0.69999999999999984</v>
      </c>
      <c r="F17" s="6">
        <f>SUM(F14:F16)</f>
        <v>2.6999999999999997</v>
      </c>
      <c r="G17" s="6">
        <f>SUM(G14:G16)</f>
        <v>1.2000000000000002</v>
      </c>
      <c r="H17" s="6">
        <f>SUM(H14:H16)</f>
        <v>-0.79999999999999982</v>
      </c>
      <c r="I17" s="6">
        <f>SUM(I14:I16)</f>
        <v>-0.8</v>
      </c>
      <c r="J17" s="6">
        <f>SUM(J14:J16)</f>
        <v>9.9999999999999645E-2</v>
      </c>
      <c r="K17" s="6">
        <v>0</v>
      </c>
      <c r="L17" s="6">
        <v>0</v>
      </c>
      <c r="M17" s="6">
        <v>0</v>
      </c>
      <c r="N17" s="6">
        <v>0</v>
      </c>
      <c r="Q17" s="6">
        <f>SUM(Q14:Q16)</f>
        <v>-0.40000000000000036</v>
      </c>
      <c r="R17" s="6">
        <f>SUM(R14:R16)</f>
        <v>22.8</v>
      </c>
      <c r="S17" s="6">
        <f>SUM(S14:S16)</f>
        <v>-2.3000000000000007</v>
      </c>
      <c r="T17" s="6">
        <f>SUM(T14:T16)</f>
        <v>1</v>
      </c>
      <c r="U17" s="6">
        <f>SUM(U14:U16)</f>
        <v>-0.30000000000000071</v>
      </c>
      <c r="V17" s="6">
        <f>SUM(V14:V16)</f>
        <v>4</v>
      </c>
      <c r="W17" s="6">
        <f>SUM(W14:W16)</f>
        <v>4.5999999999999996</v>
      </c>
      <c r="X17" s="6">
        <f t="shared" ref="X17:AF17" si="22">SUM(X14:X16)</f>
        <v>5.2899999999999991</v>
      </c>
      <c r="Y17" s="6">
        <f t="shared" si="22"/>
        <v>6.0834999999999981</v>
      </c>
      <c r="Z17" s="6">
        <f t="shared" si="22"/>
        <v>6.9960249999999977</v>
      </c>
      <c r="AA17" s="6">
        <f t="shared" si="22"/>
        <v>8.0454287499999975</v>
      </c>
      <c r="AB17" s="6">
        <f t="shared" si="22"/>
        <v>9.2522430624999963</v>
      </c>
      <c r="AC17" s="6">
        <f t="shared" si="22"/>
        <v>10.640079521874995</v>
      </c>
      <c r="AD17" s="6">
        <f t="shared" si="22"/>
        <v>12.236091450156243</v>
      </c>
      <c r="AE17" s="6">
        <f t="shared" si="22"/>
        <v>14.071505167679678</v>
      </c>
      <c r="AF17" s="6">
        <f t="shared" si="22"/>
        <v>16.18223094283163</v>
      </c>
    </row>
    <row r="18" spans="2:140" s="2" customFormat="1" x14ac:dyDescent="0.3">
      <c r="B18" s="2" t="s">
        <v>26</v>
      </c>
      <c r="C18" s="9">
        <f>C13-C17</f>
        <v>-45.1</v>
      </c>
      <c r="D18" s="9">
        <f>D13-D17</f>
        <v>-45.1</v>
      </c>
      <c r="E18" s="9">
        <f>E13-E17</f>
        <v>-38.099999999999994</v>
      </c>
      <c r="F18" s="9">
        <f>F13-F17</f>
        <v>-50.599999999999994</v>
      </c>
      <c r="G18" s="9">
        <f>G13-G17</f>
        <v>-44.2</v>
      </c>
      <c r="H18" s="9">
        <f>H13-H17</f>
        <v>-42.400000000000006</v>
      </c>
      <c r="I18" s="9">
        <f>I13-I17</f>
        <v>-51.100000000000009</v>
      </c>
      <c r="J18" s="9">
        <f>J13-J17</f>
        <v>-51.700000000000081</v>
      </c>
      <c r="K18" s="9">
        <f t="shared" ref="K18:N18" si="23">K13-K17</f>
        <v>-54.123999999999995</v>
      </c>
      <c r="L18" s="9">
        <f t="shared" si="23"/>
        <v>-55.950400000000002</v>
      </c>
      <c r="M18" s="9">
        <f t="shared" si="23"/>
        <v>-66.293999999999997</v>
      </c>
      <c r="N18" s="9">
        <f t="shared" si="23"/>
        <v>-63.305600000000027</v>
      </c>
      <c r="Q18" s="9">
        <f>Q13-Q17</f>
        <v>-54.5</v>
      </c>
      <c r="R18" s="9">
        <f>R13-R17</f>
        <v>-124.89999999999998</v>
      </c>
      <c r="S18" s="9">
        <f>S13-S17</f>
        <v>-132.89999999999998</v>
      </c>
      <c r="T18" s="9">
        <f>T13-T17</f>
        <v>-178.89999999999998</v>
      </c>
      <c r="U18" s="9">
        <f>U13-U17</f>
        <v>-189.40000000000003</v>
      </c>
      <c r="V18" s="9">
        <f>V13-V17</f>
        <v>-243.67400000000009</v>
      </c>
      <c r="W18" s="9">
        <f>W13-W17</f>
        <v>-269.42952000000014</v>
      </c>
      <c r="X18" s="9">
        <f t="shared" ref="X18:AF18" si="24">X13-X17</f>
        <v>-271.60099000000019</v>
      </c>
      <c r="Y18" s="9">
        <f t="shared" si="24"/>
        <v>-258.61544200000009</v>
      </c>
      <c r="Z18" s="9">
        <f t="shared" si="24"/>
        <v>-197.85303550000035</v>
      </c>
      <c r="AA18" s="9">
        <f t="shared" si="24"/>
        <v>-92.245160275000288</v>
      </c>
      <c r="AB18" s="9">
        <f t="shared" si="24"/>
        <v>47.588200711249712</v>
      </c>
      <c r="AC18" s="9">
        <f t="shared" si="24"/>
        <v>230.60508878431222</v>
      </c>
      <c r="AD18" s="9">
        <f t="shared" si="24"/>
        <v>468.0247132010274</v>
      </c>
      <c r="AE18" s="9">
        <f t="shared" si="24"/>
        <v>773.894062128173</v>
      </c>
      <c r="AF18" s="9">
        <f t="shared" si="24"/>
        <v>1165.7962677329504</v>
      </c>
    </row>
    <row r="19" spans="2:140" x14ac:dyDescent="0.3">
      <c r="B19" s="1" t="s">
        <v>27</v>
      </c>
      <c r="C19" s="6">
        <v>0.5</v>
      </c>
      <c r="D19" s="6">
        <v>0.8</v>
      </c>
      <c r="E19" s="6">
        <v>1.4</v>
      </c>
      <c r="F19" s="6">
        <f>T19-E19-D19-C19</f>
        <v>1.0000000000000002</v>
      </c>
      <c r="G19" s="6">
        <v>0</v>
      </c>
      <c r="H19" s="6">
        <v>-0.9</v>
      </c>
      <c r="I19" s="6">
        <v>0.9</v>
      </c>
      <c r="J19" s="6">
        <f>U19-I19-H19-G19</f>
        <v>0.8</v>
      </c>
      <c r="K19" s="6">
        <f>K18*0.01</f>
        <v>-0.54123999999999994</v>
      </c>
      <c r="L19" s="6">
        <f t="shared" ref="L19:N19" si="25">L18*0.01</f>
        <v>-0.559504</v>
      </c>
      <c r="M19" s="6">
        <f t="shared" si="25"/>
        <v>-0.66293999999999997</v>
      </c>
      <c r="N19" s="6">
        <f t="shared" si="25"/>
        <v>-0.63305600000000029</v>
      </c>
      <c r="Q19" s="6">
        <v>0.5</v>
      </c>
      <c r="R19" s="6">
        <v>-7.5</v>
      </c>
      <c r="S19" s="6">
        <v>3</v>
      </c>
      <c r="T19" s="6">
        <v>3.7</v>
      </c>
      <c r="U19" s="6">
        <v>0.8</v>
      </c>
      <c r="V19" s="6">
        <f>SUM(K19:N19)</f>
        <v>-2.3967400000000003</v>
      </c>
      <c r="W19" s="6">
        <f>W18*0.01</f>
        <v>-2.6942952000000013</v>
      </c>
      <c r="X19" s="6">
        <f t="shared" ref="X19:AF19" si="26">X18*0.01</f>
        <v>-2.7160099000000022</v>
      </c>
      <c r="Y19" s="6">
        <f t="shared" si="26"/>
        <v>-2.5861544200000011</v>
      </c>
      <c r="Z19" s="6">
        <f t="shared" si="26"/>
        <v>-1.9785303550000035</v>
      </c>
      <c r="AA19" s="6">
        <f t="shared" si="26"/>
        <v>-0.92245160275000293</v>
      </c>
      <c r="AB19" s="6">
        <f t="shared" si="26"/>
        <v>0.47588200711249712</v>
      </c>
      <c r="AC19" s="6">
        <f t="shared" si="26"/>
        <v>2.3060508878431221</v>
      </c>
      <c r="AD19" s="6">
        <f t="shared" si="26"/>
        <v>4.6802471320102743</v>
      </c>
      <c r="AE19" s="6">
        <f t="shared" si="26"/>
        <v>7.7389406212817304</v>
      </c>
      <c r="AF19" s="6">
        <f t="shared" si="26"/>
        <v>11.657962677329504</v>
      </c>
    </row>
    <row r="20" spans="2:140" s="2" customFormat="1" x14ac:dyDescent="0.3">
      <c r="B20" s="2" t="s">
        <v>28</v>
      </c>
      <c r="C20" s="9">
        <f>C18-C19</f>
        <v>-45.6</v>
      </c>
      <c r="D20" s="9">
        <f>D18-D19</f>
        <v>-45.9</v>
      </c>
      <c r="E20" s="9">
        <f>E18-E19</f>
        <v>-39.499999999999993</v>
      </c>
      <c r="F20" s="9">
        <f>F18-F19</f>
        <v>-51.599999999999994</v>
      </c>
      <c r="G20" s="9">
        <f>G18-G19</f>
        <v>-44.2</v>
      </c>
      <c r="H20" s="9">
        <f>H18-H19</f>
        <v>-41.500000000000007</v>
      </c>
      <c r="I20" s="9">
        <f>I18-I19</f>
        <v>-52.000000000000007</v>
      </c>
      <c r="J20" s="9">
        <f>J18-J19</f>
        <v>-52.500000000000078</v>
      </c>
      <c r="K20" s="9">
        <f t="shared" ref="K20:N20" si="27">K18-K19</f>
        <v>-53.582759999999993</v>
      </c>
      <c r="L20" s="9">
        <f t="shared" si="27"/>
        <v>-55.390896000000005</v>
      </c>
      <c r="M20" s="9">
        <f t="shared" si="27"/>
        <v>-65.631059999999991</v>
      </c>
      <c r="N20" s="9">
        <f t="shared" si="27"/>
        <v>-62.672544000000023</v>
      </c>
      <c r="Q20" s="9">
        <f>Q18-Q19</f>
        <v>-55</v>
      </c>
      <c r="R20" s="9">
        <f>R18-R19</f>
        <v>-117.39999999999998</v>
      </c>
      <c r="S20" s="9">
        <f>S18-S19</f>
        <v>-135.89999999999998</v>
      </c>
      <c r="T20" s="9">
        <f>T18-T19</f>
        <v>-182.59999999999997</v>
      </c>
      <c r="U20" s="9">
        <f>U18-U19</f>
        <v>-190.20000000000005</v>
      </c>
      <c r="V20" s="9">
        <f>V18-V19</f>
        <v>-241.2772600000001</v>
      </c>
      <c r="W20" s="9">
        <f>W18-W19</f>
        <v>-266.73522480000014</v>
      </c>
      <c r="X20" s="9">
        <f t="shared" ref="X20:AF20" si="28">X18-X19</f>
        <v>-268.88498010000018</v>
      </c>
      <c r="Y20" s="9">
        <f t="shared" si="28"/>
        <v>-256.02928758000007</v>
      </c>
      <c r="Z20" s="9">
        <f t="shared" si="28"/>
        <v>-195.87450514500034</v>
      </c>
      <c r="AA20" s="9">
        <f t="shared" si="28"/>
        <v>-91.322708672250286</v>
      </c>
      <c r="AB20" s="9">
        <f t="shared" si="28"/>
        <v>47.112318704137216</v>
      </c>
      <c r="AC20" s="9">
        <f t="shared" si="28"/>
        <v>228.29903789646909</v>
      </c>
      <c r="AD20" s="9">
        <f t="shared" si="28"/>
        <v>463.34446606901713</v>
      </c>
      <c r="AE20" s="9">
        <f t="shared" si="28"/>
        <v>766.15512150689131</v>
      </c>
      <c r="AF20" s="9">
        <f t="shared" si="28"/>
        <v>1154.1383050556208</v>
      </c>
      <c r="AG20" s="2">
        <f>AF20*(1+$AI$25)</f>
        <v>1142.5969220050645</v>
      </c>
      <c r="AH20" s="2">
        <f t="shared" ref="AH20:CS20" si="29">AG20*(1+$AI$25)</f>
        <v>1131.1709527850139</v>
      </c>
      <c r="AI20" s="2">
        <f t="shared" si="29"/>
        <v>1119.8592432571638</v>
      </c>
      <c r="AJ20" s="2">
        <f t="shared" si="29"/>
        <v>1108.6606508245923</v>
      </c>
      <c r="AK20" s="2">
        <f t="shared" si="29"/>
        <v>1097.5740443163463</v>
      </c>
      <c r="AL20" s="2">
        <f t="shared" si="29"/>
        <v>1086.5983038731829</v>
      </c>
      <c r="AM20" s="2">
        <f t="shared" si="29"/>
        <v>1075.732320834451</v>
      </c>
      <c r="AN20" s="2">
        <f t="shared" si="29"/>
        <v>1064.9749976261064</v>
      </c>
      <c r="AO20" s="2">
        <f t="shared" si="29"/>
        <v>1054.3252476498453</v>
      </c>
      <c r="AP20" s="2">
        <f t="shared" si="29"/>
        <v>1043.7819951733468</v>
      </c>
      <c r="AQ20" s="2">
        <f t="shared" si="29"/>
        <v>1033.3441752216133</v>
      </c>
      <c r="AR20" s="2">
        <f t="shared" si="29"/>
        <v>1023.0107334693972</v>
      </c>
      <c r="AS20" s="2">
        <f t="shared" si="29"/>
        <v>1012.7806261347032</v>
      </c>
      <c r="AT20" s="2">
        <f t="shared" si="29"/>
        <v>1002.6528198733562</v>
      </c>
      <c r="AU20" s="2">
        <f t="shared" si="29"/>
        <v>992.62629167462262</v>
      </c>
      <c r="AV20" s="2">
        <f t="shared" si="29"/>
        <v>982.70002875787634</v>
      </c>
      <c r="AW20" s="2">
        <f t="shared" si="29"/>
        <v>972.87302847029753</v>
      </c>
      <c r="AX20" s="2">
        <f t="shared" si="29"/>
        <v>963.14429818559449</v>
      </c>
      <c r="AY20" s="2">
        <f t="shared" si="29"/>
        <v>953.51285520373858</v>
      </c>
      <c r="AZ20" s="2">
        <f t="shared" si="29"/>
        <v>943.97772665170123</v>
      </c>
      <c r="BA20" s="2">
        <f t="shared" si="29"/>
        <v>934.53794938518422</v>
      </c>
      <c r="BB20" s="2">
        <f t="shared" si="29"/>
        <v>925.19256989133237</v>
      </c>
      <c r="BC20" s="2">
        <f t="shared" si="29"/>
        <v>915.94064419241909</v>
      </c>
      <c r="BD20" s="2">
        <f t="shared" si="29"/>
        <v>906.78123775049494</v>
      </c>
      <c r="BE20" s="2">
        <f t="shared" si="29"/>
        <v>897.71342537298995</v>
      </c>
      <c r="BF20" s="2">
        <f t="shared" si="29"/>
        <v>888.73629111926004</v>
      </c>
      <c r="BG20" s="2">
        <f t="shared" si="29"/>
        <v>879.84892820806749</v>
      </c>
      <c r="BH20" s="2">
        <f t="shared" si="29"/>
        <v>871.05043892598678</v>
      </c>
      <c r="BI20" s="2">
        <f t="shared" si="29"/>
        <v>862.3399345367269</v>
      </c>
      <c r="BJ20" s="2">
        <f t="shared" si="29"/>
        <v>853.71653519135964</v>
      </c>
      <c r="BK20" s="2">
        <f t="shared" si="29"/>
        <v>845.17936983944605</v>
      </c>
      <c r="BL20" s="2">
        <f t="shared" si="29"/>
        <v>836.7275761410516</v>
      </c>
      <c r="BM20" s="2">
        <f t="shared" si="29"/>
        <v>828.3603003796411</v>
      </c>
      <c r="BN20" s="2">
        <f t="shared" si="29"/>
        <v>820.07669737584467</v>
      </c>
      <c r="BO20" s="2">
        <f t="shared" si="29"/>
        <v>811.87593040208617</v>
      </c>
      <c r="BP20" s="2">
        <f t="shared" si="29"/>
        <v>803.75717109806533</v>
      </c>
      <c r="BQ20" s="2">
        <f t="shared" si="29"/>
        <v>795.71959938708471</v>
      </c>
      <c r="BR20" s="2">
        <f t="shared" si="29"/>
        <v>787.76240339321384</v>
      </c>
      <c r="BS20" s="2">
        <f t="shared" si="29"/>
        <v>779.88477935928165</v>
      </c>
      <c r="BT20" s="2">
        <f t="shared" si="29"/>
        <v>772.08593156568884</v>
      </c>
      <c r="BU20" s="2">
        <f t="shared" si="29"/>
        <v>764.36507225003197</v>
      </c>
      <c r="BV20" s="2">
        <f t="shared" si="29"/>
        <v>756.72142152753167</v>
      </c>
      <c r="BW20" s="2">
        <f t="shared" si="29"/>
        <v>749.1542073122564</v>
      </c>
      <c r="BX20" s="2">
        <f t="shared" si="29"/>
        <v>741.66266523913384</v>
      </c>
      <c r="BY20" s="2">
        <f t="shared" si="29"/>
        <v>734.24603858674254</v>
      </c>
      <c r="BZ20" s="2">
        <f t="shared" si="29"/>
        <v>726.90357820087513</v>
      </c>
      <c r="CA20" s="2">
        <f t="shared" si="29"/>
        <v>719.63454241886632</v>
      </c>
      <c r="CB20" s="2">
        <f t="shared" si="29"/>
        <v>712.4381969946777</v>
      </c>
      <c r="CC20" s="2">
        <f t="shared" si="29"/>
        <v>705.31381502473096</v>
      </c>
      <c r="CD20" s="2">
        <f t="shared" si="29"/>
        <v>698.26067687448369</v>
      </c>
      <c r="CE20" s="2">
        <f t="shared" si="29"/>
        <v>691.27807010573883</v>
      </c>
      <c r="CF20" s="2">
        <f t="shared" si="29"/>
        <v>684.36528940468145</v>
      </c>
      <c r="CG20" s="2">
        <f t="shared" si="29"/>
        <v>677.52163651063461</v>
      </c>
      <c r="CH20" s="2">
        <f t="shared" si="29"/>
        <v>670.7464201455283</v>
      </c>
      <c r="CI20" s="2">
        <f t="shared" si="29"/>
        <v>664.038955944073</v>
      </c>
      <c r="CJ20" s="2">
        <f t="shared" si="29"/>
        <v>657.3985663846322</v>
      </c>
      <c r="CK20" s="2">
        <f t="shared" si="29"/>
        <v>650.82458072078589</v>
      </c>
      <c r="CL20" s="2">
        <f t="shared" si="29"/>
        <v>644.31633491357798</v>
      </c>
      <c r="CM20" s="2">
        <f t="shared" si="29"/>
        <v>637.87317156444215</v>
      </c>
      <c r="CN20" s="2">
        <f t="shared" si="29"/>
        <v>631.4944398487977</v>
      </c>
      <c r="CO20" s="2">
        <f t="shared" si="29"/>
        <v>625.17949545030967</v>
      </c>
      <c r="CP20" s="2">
        <f t="shared" si="29"/>
        <v>618.92770049580656</v>
      </c>
      <c r="CQ20" s="2">
        <f t="shared" si="29"/>
        <v>612.7384234908485</v>
      </c>
      <c r="CR20" s="2">
        <f t="shared" si="29"/>
        <v>606.61103925594</v>
      </c>
      <c r="CS20" s="2">
        <f t="shared" si="29"/>
        <v>600.54492886338062</v>
      </c>
      <c r="CT20" s="2">
        <f t="shared" ref="CT20:EJ20" si="30">CS20*(1+$AI$25)</f>
        <v>594.53947957474679</v>
      </c>
      <c r="CU20" s="2">
        <f t="shared" si="30"/>
        <v>588.59408477899933</v>
      </c>
      <c r="CV20" s="2">
        <f t="shared" si="30"/>
        <v>582.70814393120929</v>
      </c>
      <c r="CW20" s="2">
        <f t="shared" si="30"/>
        <v>576.88106249189718</v>
      </c>
      <c r="CX20" s="2">
        <f t="shared" si="30"/>
        <v>571.11225186697823</v>
      </c>
      <c r="CY20" s="2">
        <f t="shared" si="30"/>
        <v>565.40112934830847</v>
      </c>
      <c r="CZ20" s="2">
        <f t="shared" si="30"/>
        <v>559.74711805482536</v>
      </c>
      <c r="DA20" s="2">
        <f t="shared" si="30"/>
        <v>554.1496468742771</v>
      </c>
      <c r="DB20" s="2">
        <f t="shared" si="30"/>
        <v>548.60815040553427</v>
      </c>
      <c r="DC20" s="2">
        <f t="shared" si="30"/>
        <v>543.12206890147888</v>
      </c>
      <c r="DD20" s="2">
        <f t="shared" si="30"/>
        <v>537.69084821246406</v>
      </c>
      <c r="DE20" s="2">
        <f t="shared" si="30"/>
        <v>532.31393973033937</v>
      </c>
      <c r="DF20" s="2">
        <f t="shared" si="30"/>
        <v>526.99080033303596</v>
      </c>
      <c r="DG20" s="2">
        <f t="shared" si="30"/>
        <v>521.72089232970563</v>
      </c>
      <c r="DH20" s="2">
        <f t="shared" si="30"/>
        <v>516.50368340640853</v>
      </c>
      <c r="DI20" s="2">
        <f t="shared" si="30"/>
        <v>511.33864657234443</v>
      </c>
      <c r="DJ20" s="2">
        <f t="shared" si="30"/>
        <v>506.22526010662096</v>
      </c>
      <c r="DK20" s="2">
        <f t="shared" si="30"/>
        <v>501.16300750555473</v>
      </c>
      <c r="DL20" s="2">
        <f t="shared" si="30"/>
        <v>496.15137743049917</v>
      </c>
      <c r="DM20" s="2">
        <f t="shared" si="30"/>
        <v>491.18986365619418</v>
      </c>
      <c r="DN20" s="2">
        <f t="shared" si="30"/>
        <v>486.27796501963223</v>
      </c>
      <c r="DO20" s="2">
        <f t="shared" si="30"/>
        <v>481.4151853694359</v>
      </c>
      <c r="DP20" s="2">
        <f t="shared" si="30"/>
        <v>476.60103351574156</v>
      </c>
      <c r="DQ20" s="2">
        <f t="shared" si="30"/>
        <v>471.83502318058413</v>
      </c>
      <c r="DR20" s="2">
        <f t="shared" si="30"/>
        <v>467.11667294877827</v>
      </c>
      <c r="DS20" s="2">
        <f t="shared" si="30"/>
        <v>462.44550621929051</v>
      </c>
      <c r="DT20" s="2">
        <f t="shared" si="30"/>
        <v>457.8210511570976</v>
      </c>
      <c r="DU20" s="2">
        <f t="shared" si="30"/>
        <v>453.2428406455266</v>
      </c>
      <c r="DV20" s="2">
        <f t="shared" si="30"/>
        <v>448.71041223907133</v>
      </c>
      <c r="DW20" s="2">
        <f t="shared" si="30"/>
        <v>444.22330811668064</v>
      </c>
      <c r="DX20" s="2">
        <f t="shared" si="30"/>
        <v>439.78107503551382</v>
      </c>
      <c r="DY20" s="2">
        <f t="shared" si="30"/>
        <v>435.3832642851587</v>
      </c>
      <c r="DZ20" s="2">
        <f t="shared" si="30"/>
        <v>431.02943164230709</v>
      </c>
      <c r="EA20" s="2">
        <f t="shared" si="30"/>
        <v>426.71913732588399</v>
      </c>
      <c r="EB20" s="2">
        <f t="shared" si="30"/>
        <v>422.45194595262512</v>
      </c>
      <c r="EC20" s="2">
        <f t="shared" si="30"/>
        <v>418.22742649309885</v>
      </c>
      <c r="ED20" s="2">
        <f t="shared" si="30"/>
        <v>414.04515222816786</v>
      </c>
      <c r="EE20" s="2">
        <f t="shared" si="30"/>
        <v>409.90470070588617</v>
      </c>
      <c r="EF20" s="2">
        <f t="shared" si="30"/>
        <v>405.80565369882731</v>
      </c>
      <c r="EG20" s="2">
        <f t="shared" si="30"/>
        <v>401.74759716183905</v>
      </c>
      <c r="EH20" s="2">
        <f t="shared" si="30"/>
        <v>397.73012119022064</v>
      </c>
      <c r="EI20" s="2">
        <f t="shared" si="30"/>
        <v>393.75281997831843</v>
      </c>
      <c r="EJ20" s="2">
        <f t="shared" si="30"/>
        <v>389.81529177853525</v>
      </c>
    </row>
    <row r="21" spans="2:140" x14ac:dyDescent="0.3">
      <c r="B21" s="1" t="s">
        <v>2</v>
      </c>
      <c r="C21" s="6">
        <v>209.9</v>
      </c>
      <c r="D21" s="6">
        <v>209.9</v>
      </c>
      <c r="E21" s="6">
        <v>209.9</v>
      </c>
      <c r="F21" s="6">
        <v>209.9</v>
      </c>
      <c r="G21" s="6">
        <v>209.9</v>
      </c>
      <c r="H21" s="6">
        <v>209.9</v>
      </c>
      <c r="I21" s="6">
        <v>209.9</v>
      </c>
      <c r="J21" s="6">
        <v>209.9</v>
      </c>
      <c r="K21" s="6">
        <v>209.9</v>
      </c>
      <c r="L21" s="6">
        <v>209.9</v>
      </c>
      <c r="M21" s="6">
        <v>209.9</v>
      </c>
      <c r="N21" s="6">
        <v>209.9</v>
      </c>
      <c r="Q21" s="6">
        <v>75.400000000000006</v>
      </c>
      <c r="R21" s="6">
        <v>209.9</v>
      </c>
      <c r="S21" s="6">
        <v>466.2</v>
      </c>
      <c r="T21" s="6">
        <v>481.8</v>
      </c>
      <c r="U21" s="6">
        <v>495.9</v>
      </c>
      <c r="V21" s="6">
        <v>495.9</v>
      </c>
      <c r="W21" s="6">
        <v>495.9</v>
      </c>
      <c r="X21" s="6">
        <v>495.9</v>
      </c>
      <c r="Y21" s="6">
        <v>495.9</v>
      </c>
      <c r="Z21" s="6">
        <v>495.9</v>
      </c>
      <c r="AA21" s="6">
        <v>495.9</v>
      </c>
      <c r="AB21" s="6">
        <v>495.9</v>
      </c>
      <c r="AC21" s="6">
        <v>495.9</v>
      </c>
      <c r="AD21" s="6">
        <v>495.9</v>
      </c>
      <c r="AE21" s="6">
        <v>495.9</v>
      </c>
      <c r="AF21" s="6">
        <v>495.9</v>
      </c>
    </row>
    <row r="22" spans="2:140" x14ac:dyDescent="0.3">
      <c r="B22" s="1" t="s">
        <v>29</v>
      </c>
      <c r="C22" s="8">
        <f>C20/C21</f>
        <v>-0.21724630776560266</v>
      </c>
      <c r="D22" s="8">
        <f>D20/D21</f>
        <v>-0.21867555979037637</v>
      </c>
      <c r="E22" s="8">
        <f>E20/E21</f>
        <v>-0.18818484992853737</v>
      </c>
      <c r="F22" s="8">
        <f>F20/F21</f>
        <v>-0.24583134826107667</v>
      </c>
      <c r="G22" s="8">
        <f>G20/G21</f>
        <v>-0.21057646498332541</v>
      </c>
      <c r="H22" s="8">
        <f>H20/H21</f>
        <v>-0.19771319676036211</v>
      </c>
      <c r="I22" s="8">
        <f>I20/I21</f>
        <v>-0.24773701762744166</v>
      </c>
      <c r="J22" s="8">
        <f>J20/J21</f>
        <v>-0.25011910433539819</v>
      </c>
      <c r="K22" s="8">
        <f t="shared" ref="K22:N22" si="31">K20/K21</f>
        <v>-0.25527756074321101</v>
      </c>
      <c r="L22" s="8">
        <f t="shared" si="31"/>
        <v>-0.26389183420676515</v>
      </c>
      <c r="M22" s="8">
        <f t="shared" si="31"/>
        <v>-0.31267775131014763</v>
      </c>
      <c r="N22" s="8">
        <f t="shared" si="31"/>
        <v>-0.29858286803239648</v>
      </c>
      <c r="Q22" s="8">
        <f>Q20/Q21</f>
        <v>-0.72944297082228116</v>
      </c>
      <c r="R22" s="8">
        <f>R20/R21</f>
        <v>-0.55931395902810854</v>
      </c>
      <c r="S22" s="8">
        <f>S20/S21</f>
        <v>-0.29150579150579148</v>
      </c>
      <c r="T22" s="8">
        <f>T20/T21</f>
        <v>-0.37899543378995426</v>
      </c>
      <c r="U22" s="8">
        <f>U20/U21</f>
        <v>-0.38354506957047801</v>
      </c>
      <c r="V22" s="8">
        <f>V20/V21</f>
        <v>-0.48654418229481772</v>
      </c>
      <c r="W22" s="8">
        <f>W20/W21</f>
        <v>-0.53788107441016364</v>
      </c>
      <c r="X22" s="8">
        <f t="shared" ref="X22:AF22" si="32">X20/X21</f>
        <v>-0.54221613248638878</v>
      </c>
      <c r="Y22" s="8">
        <f t="shared" si="32"/>
        <v>-0.51629217096188762</v>
      </c>
      <c r="Z22" s="8">
        <f t="shared" si="32"/>
        <v>-0.39498791116152521</v>
      </c>
      <c r="AA22" s="8">
        <f t="shared" si="32"/>
        <v>-0.18415549238203324</v>
      </c>
      <c r="AB22" s="8">
        <f t="shared" si="32"/>
        <v>9.5003667481623755E-2</v>
      </c>
      <c r="AC22" s="8">
        <f t="shared" si="32"/>
        <v>0.46037313550407161</v>
      </c>
      <c r="AD22" s="8">
        <f t="shared" si="32"/>
        <v>0.93435060711638873</v>
      </c>
      <c r="AE22" s="8">
        <f t="shared" si="32"/>
        <v>1.5449790713992566</v>
      </c>
      <c r="AF22" s="8">
        <f t="shared" si="32"/>
        <v>2.3273609700657811</v>
      </c>
    </row>
    <row r="24" spans="2:140" x14ac:dyDescent="0.3">
      <c r="B24" s="1" t="s">
        <v>12</v>
      </c>
      <c r="C24" s="10"/>
      <c r="D24" s="10"/>
      <c r="E24" s="10"/>
      <c r="F24" s="10"/>
      <c r="G24" s="10"/>
      <c r="H24" s="10"/>
      <c r="I24" s="10"/>
      <c r="J24" s="10"/>
      <c r="Q24" s="10"/>
      <c r="R24" s="10"/>
      <c r="S24" s="10"/>
      <c r="T24" s="10">
        <f t="shared" ref="S24:U24" si="33">T3/S3-1</f>
        <v>0.17655897821187083</v>
      </c>
      <c r="U24" s="10">
        <f>U3/T3-1</f>
        <v>0.85121328224776494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2:140" x14ac:dyDescent="0.3">
      <c r="B25" s="1" t="s">
        <v>13</v>
      </c>
      <c r="C25" s="10"/>
      <c r="D25" s="10"/>
      <c r="E25" s="10"/>
      <c r="F25" s="10"/>
      <c r="G25" s="10"/>
      <c r="H25" s="10"/>
      <c r="I25" s="10"/>
      <c r="J25" s="10"/>
      <c r="Q25" s="10"/>
      <c r="R25" s="10"/>
      <c r="S25" s="10"/>
      <c r="T25" s="10">
        <f t="shared" ref="S25:U26" si="34">T4/S4-1</f>
        <v>0.12965340179717577</v>
      </c>
      <c r="U25" s="10">
        <f t="shared" si="34"/>
        <v>0.6636363636363638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H25" s="1" t="s">
        <v>50</v>
      </c>
      <c r="AI25" s="10">
        <v>-0.01</v>
      </c>
    </row>
    <row r="26" spans="2:140" x14ac:dyDescent="0.3">
      <c r="B26" s="1" t="s">
        <v>42</v>
      </c>
      <c r="C26" s="11"/>
      <c r="D26" s="11"/>
      <c r="E26" s="11"/>
      <c r="F26" s="11"/>
      <c r="G26" s="11">
        <f t="shared" ref="G26:I26" si="35">G5/C5-1</f>
        <v>0.69034608378870677</v>
      </c>
      <c r="H26" s="11">
        <f t="shared" si="35"/>
        <v>0.71451612903225792</v>
      </c>
      <c r="I26" s="11">
        <f t="shared" si="35"/>
        <v>0.5480059084194977</v>
      </c>
      <c r="J26" s="11">
        <f>J5/F5-1</f>
        <v>1.2066666666666661</v>
      </c>
      <c r="K26" s="11">
        <f t="shared" ref="K26:N26" si="36">K5/G5-1</f>
        <v>0.5</v>
      </c>
      <c r="L26" s="11">
        <f t="shared" si="36"/>
        <v>0.39999999999999991</v>
      </c>
      <c r="M26" s="11">
        <f t="shared" si="36"/>
        <v>0.5</v>
      </c>
      <c r="N26" s="11">
        <f t="shared" si="36"/>
        <v>0.39999999999999991</v>
      </c>
      <c r="Q26" s="11"/>
      <c r="R26" s="11">
        <f t="shared" ref="Q26:S26" si="37">R5/Q5-1</f>
        <v>0.76704545454545459</v>
      </c>
      <c r="S26" s="11">
        <f t="shared" si="34"/>
        <v>2.3922829581993565</v>
      </c>
      <c r="T26" s="11">
        <f t="shared" si="34"/>
        <v>0.15924170616113731</v>
      </c>
      <c r="U26" s="11">
        <f t="shared" si="34"/>
        <v>0.78372853638593609</v>
      </c>
      <c r="V26" s="11">
        <f t="shared" ref="V26:AF26" si="38">V5/U5-1</f>
        <v>0.44528993811597495</v>
      </c>
      <c r="W26" s="11">
        <f t="shared" si="38"/>
        <v>0.39999999999999991</v>
      </c>
      <c r="X26" s="11">
        <f t="shared" si="38"/>
        <v>0.35000000000000009</v>
      </c>
      <c r="Y26" s="11">
        <f t="shared" si="38"/>
        <v>0.30000000000000004</v>
      </c>
      <c r="Z26" s="11">
        <f t="shared" si="38"/>
        <v>0.25</v>
      </c>
      <c r="AA26" s="11">
        <f t="shared" si="38"/>
        <v>0.25</v>
      </c>
      <c r="AB26" s="11">
        <f t="shared" si="38"/>
        <v>0.25</v>
      </c>
      <c r="AC26" s="11">
        <f t="shared" si="38"/>
        <v>0.25</v>
      </c>
      <c r="AD26" s="11">
        <f t="shared" si="38"/>
        <v>0.25</v>
      </c>
      <c r="AE26" s="11">
        <f t="shared" si="38"/>
        <v>0.25</v>
      </c>
      <c r="AF26" s="11">
        <f t="shared" si="38"/>
        <v>0.25</v>
      </c>
      <c r="AH26" s="1" t="s">
        <v>51</v>
      </c>
      <c r="AI26" s="10">
        <v>0.09</v>
      </c>
    </row>
    <row r="27" spans="2:140" x14ac:dyDescent="0.3">
      <c r="B27" s="1" t="s">
        <v>43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Q27" s="10"/>
      <c r="R27" s="10"/>
      <c r="S27" s="10">
        <f t="shared" ref="S27:U27" si="39">(S3-S6)/S3</f>
        <v>0.21111945905334331</v>
      </c>
      <c r="T27" s="10">
        <f t="shared" si="39"/>
        <v>0.26372924648786716</v>
      </c>
      <c r="U27" s="10">
        <f>(U3-U6)/U3</f>
        <v>0.262504311831666</v>
      </c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H27" s="1" t="s">
        <v>52</v>
      </c>
      <c r="AI27" s="6">
        <f>NPV(AI26,V20:EJ20)</f>
        <v>4535.7608195743587</v>
      </c>
    </row>
    <row r="28" spans="2:140" x14ac:dyDescent="0.3">
      <c r="B28" s="1" t="s">
        <v>44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Q28" s="10"/>
      <c r="R28" s="10"/>
      <c r="S28" s="10">
        <f t="shared" ref="S28:U28" si="40">(S4-S7)/S4</f>
        <v>-0.11681643132220788</v>
      </c>
      <c r="T28" s="10">
        <f t="shared" si="40"/>
        <v>0.11590909090909095</v>
      </c>
      <c r="U28" s="10">
        <f>(U4-U7)/U4</f>
        <v>0.27459016393442626</v>
      </c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H28" s="1" t="s">
        <v>53</v>
      </c>
      <c r="AI28" s="6">
        <f>Main!D8</f>
        <v>77.999999999999943</v>
      </c>
    </row>
    <row r="29" spans="2:140" x14ac:dyDescent="0.3">
      <c r="B29" s="1" t="s">
        <v>49</v>
      </c>
      <c r="C29" s="10">
        <f t="shared" ref="C29:J29" si="41">C9/C5</f>
        <v>0.11657559198542802</v>
      </c>
      <c r="D29" s="10">
        <f t="shared" si="41"/>
        <v>0.23387096774193547</v>
      </c>
      <c r="E29" s="10">
        <f t="shared" si="41"/>
        <v>0.22156573116691283</v>
      </c>
      <c r="F29" s="10">
        <f t="shared" si="41"/>
        <v>0.26000000000000012</v>
      </c>
      <c r="G29" s="10">
        <f t="shared" si="41"/>
        <v>0.26077586206896558</v>
      </c>
      <c r="H29" s="10">
        <f t="shared" si="41"/>
        <v>0.25587958607714018</v>
      </c>
      <c r="I29" s="10">
        <f t="shared" si="41"/>
        <v>0.26717557251908397</v>
      </c>
      <c r="J29" s="10">
        <f t="shared" si="41"/>
        <v>0.27870090634441042</v>
      </c>
      <c r="K29" s="10">
        <f t="shared" ref="K29:N29" si="42">K9/K5</f>
        <v>0.28000000000000003</v>
      </c>
      <c r="L29" s="10">
        <f t="shared" si="42"/>
        <v>0.28000000000000003</v>
      </c>
      <c r="M29" s="10">
        <f t="shared" si="42"/>
        <v>0.28000000000000003</v>
      </c>
      <c r="N29" s="10">
        <f t="shared" si="42"/>
        <v>0.29000000000000009</v>
      </c>
      <c r="Q29" s="10">
        <f t="shared" ref="Q29:S29" si="43">Q9/Q5</f>
        <v>-0.3352272727272726</v>
      </c>
      <c r="R29" s="10">
        <f t="shared" si="43"/>
        <v>-3.054662379421208E-2</v>
      </c>
      <c r="S29" s="10">
        <f t="shared" ref="S29:U29" si="44">S9/S5</f>
        <v>9.004739336492891E-2</v>
      </c>
      <c r="T29" s="10">
        <f t="shared" si="44"/>
        <v>0.21054783319705642</v>
      </c>
      <c r="U29" s="10">
        <f>U9/U5</f>
        <v>0.26655970662388256</v>
      </c>
      <c r="V29" s="10">
        <f t="shared" ref="V29:AF29" si="45">V9/V5</f>
        <v>0.28293951600114181</v>
      </c>
      <c r="W29" s="10">
        <f t="shared" si="45"/>
        <v>0.28999999999999998</v>
      </c>
      <c r="X29" s="10">
        <f t="shared" si="45"/>
        <v>0.30000000000000004</v>
      </c>
      <c r="Y29" s="10">
        <f t="shared" si="45"/>
        <v>0.3000000000000001</v>
      </c>
      <c r="Z29" s="10">
        <f t="shared" si="45"/>
        <v>0.3</v>
      </c>
      <c r="AA29" s="10">
        <f t="shared" si="45"/>
        <v>0.30000000000000004</v>
      </c>
      <c r="AB29" s="10">
        <f t="shared" si="45"/>
        <v>0.3000000000000001</v>
      </c>
      <c r="AC29" s="10">
        <f t="shared" si="45"/>
        <v>0.3000000000000001</v>
      </c>
      <c r="AD29" s="10">
        <f t="shared" si="45"/>
        <v>0.3</v>
      </c>
      <c r="AE29" s="10">
        <f t="shared" si="45"/>
        <v>0.3000000000000001</v>
      </c>
      <c r="AF29" s="10">
        <f t="shared" si="45"/>
        <v>0.3000000000000001</v>
      </c>
      <c r="AH29" s="1" t="s">
        <v>54</v>
      </c>
      <c r="AI29" s="6">
        <f>AI27+AI28</f>
        <v>4613.7608195743587</v>
      </c>
    </row>
    <row r="30" spans="2:140" x14ac:dyDescent="0.3">
      <c r="B30" s="1" t="s">
        <v>45</v>
      </c>
      <c r="C30" s="10"/>
      <c r="D30" s="10"/>
      <c r="E30" s="10"/>
      <c r="F30" s="10"/>
      <c r="G30" s="10">
        <f t="shared" ref="E30:I30" si="46">G10/C10-1</f>
        <v>0.61087866108786626</v>
      </c>
      <c r="H30" s="10">
        <f t="shared" si="46"/>
        <v>0.2870967741935484</v>
      </c>
      <c r="I30" s="10">
        <f t="shared" si="46"/>
        <v>0.79323308270676685</v>
      </c>
      <c r="J30" s="10">
        <f>J10/F10-1</f>
        <v>0.28457446808510656</v>
      </c>
      <c r="K30" s="10">
        <f t="shared" ref="K30:N31" si="47">K10/G10-1</f>
        <v>0.30000000000000004</v>
      </c>
      <c r="L30" s="10">
        <f t="shared" si="47"/>
        <v>0.30000000000000004</v>
      </c>
      <c r="M30" s="10">
        <f t="shared" si="47"/>
        <v>0.30000000000000004</v>
      </c>
      <c r="N30" s="10">
        <f t="shared" si="47"/>
        <v>0.30000000000000004</v>
      </c>
      <c r="Q30" s="10"/>
      <c r="R30" s="10">
        <f t="shared" ref="Q30:S30" si="48">R10/Q10-1</f>
        <v>1.1884816753926697</v>
      </c>
      <c r="S30" s="10">
        <f t="shared" ref="S30:U30" si="49">S10/R10-1</f>
        <v>0.55980861244019153</v>
      </c>
      <c r="T30" s="10">
        <f t="shared" si="49"/>
        <v>0.82668711656441696</v>
      </c>
      <c r="U30" s="10">
        <f>U10/T10-1</f>
        <v>0.46431570109151976</v>
      </c>
      <c r="V30" s="10">
        <f t="shared" ref="V30:AF30" si="50">V10/U10-1</f>
        <v>0.30000000000000004</v>
      </c>
      <c r="W30" s="10">
        <f t="shared" si="50"/>
        <v>0.19999999999999996</v>
      </c>
      <c r="X30" s="10">
        <f t="shared" si="50"/>
        <v>0.14999999999999991</v>
      </c>
      <c r="Y30" s="10">
        <f t="shared" si="50"/>
        <v>0.10000000000000009</v>
      </c>
      <c r="Z30" s="10">
        <f t="shared" si="50"/>
        <v>5.0000000000000044E-2</v>
      </c>
      <c r="AA30" s="10">
        <f t="shared" si="50"/>
        <v>5.0000000000000044E-2</v>
      </c>
      <c r="AB30" s="10">
        <f t="shared" si="50"/>
        <v>5.0000000000000044E-2</v>
      </c>
      <c r="AC30" s="10">
        <f t="shared" si="50"/>
        <v>5.0000000000000044E-2</v>
      </c>
      <c r="AD30" s="10">
        <f t="shared" si="50"/>
        <v>5.0000000000000044E-2</v>
      </c>
      <c r="AE30" s="10">
        <f t="shared" si="50"/>
        <v>5.0000000000000044E-2</v>
      </c>
      <c r="AF30" s="10">
        <f t="shared" si="50"/>
        <v>5.0000000000000044E-2</v>
      </c>
      <c r="AH30" s="1" t="s">
        <v>55</v>
      </c>
      <c r="AI30" s="5">
        <f>AI29/AF21</f>
        <v>9.3038129049694671</v>
      </c>
    </row>
    <row r="31" spans="2:140" x14ac:dyDescent="0.3">
      <c r="B31" s="1" t="s">
        <v>46</v>
      </c>
      <c r="C31" s="10"/>
      <c r="D31" s="10"/>
      <c r="E31" s="10"/>
      <c r="F31" s="10"/>
      <c r="G31" s="10">
        <f t="shared" ref="E31:J31" si="51">G11/C11-1</f>
        <v>7.0175438596491446E-3</v>
      </c>
      <c r="H31" s="10">
        <f t="shared" si="51"/>
        <v>6.2717770034843134E-2</v>
      </c>
      <c r="I31" s="10">
        <f t="shared" si="51"/>
        <v>0.18382352941176494</v>
      </c>
      <c r="J31" s="10">
        <f t="shared" si="51"/>
        <v>0.55212355212355213</v>
      </c>
      <c r="K31" s="10">
        <f t="shared" si="47"/>
        <v>0.5</v>
      </c>
      <c r="L31" s="10">
        <f t="shared" si="47"/>
        <v>0.5</v>
      </c>
      <c r="M31" s="10">
        <f t="shared" si="47"/>
        <v>0.5</v>
      </c>
      <c r="N31" s="10">
        <f t="shared" si="47"/>
        <v>0.35000000000000009</v>
      </c>
      <c r="Q31" s="10"/>
      <c r="R31" s="10">
        <f t="shared" ref="Q31:S31" si="52">R11/Q11-1</f>
        <v>1.4333333333333331</v>
      </c>
      <c r="S31" s="10">
        <f t="shared" ref="S31:U31" si="53">S11/R11-1</f>
        <v>0.52397260273972601</v>
      </c>
      <c r="T31" s="10">
        <f t="shared" si="53"/>
        <v>0.23932584269662915</v>
      </c>
      <c r="U31" s="10">
        <f>U11/T11-1</f>
        <v>0.19310970081595635</v>
      </c>
      <c r="V31" s="10">
        <f t="shared" ref="V31:AF31" si="54">V11/U11-1</f>
        <v>0.45417933130699084</v>
      </c>
      <c r="W31" s="10">
        <f t="shared" si="54"/>
        <v>0.30000000000000004</v>
      </c>
      <c r="X31" s="10">
        <f t="shared" si="54"/>
        <v>0.25</v>
      </c>
      <c r="Y31" s="10">
        <f t="shared" si="54"/>
        <v>0.19999999999999996</v>
      </c>
      <c r="Z31" s="10">
        <f t="shared" si="54"/>
        <v>0.10000000000000009</v>
      </c>
      <c r="AA31" s="10">
        <f t="shared" si="54"/>
        <v>5.0000000000000044E-2</v>
      </c>
      <c r="AB31" s="10">
        <f t="shared" si="54"/>
        <v>5.0000000000000044E-2</v>
      </c>
      <c r="AC31" s="10">
        <f t="shared" si="54"/>
        <v>5.0000000000000044E-2</v>
      </c>
      <c r="AD31" s="10">
        <f t="shared" si="54"/>
        <v>5.0000000000000044E-2</v>
      </c>
      <c r="AE31" s="10">
        <f t="shared" si="54"/>
        <v>5.0000000000000044E-2</v>
      </c>
      <c r="AF31" s="10">
        <f t="shared" si="54"/>
        <v>5.0000000000000044E-2</v>
      </c>
      <c r="AH31" s="1" t="s">
        <v>56</v>
      </c>
      <c r="AI31" s="5">
        <f>Main!D3</f>
        <v>20.36</v>
      </c>
    </row>
    <row r="32" spans="2:140" x14ac:dyDescent="0.3">
      <c r="B32" s="1" t="s">
        <v>47</v>
      </c>
      <c r="C32" s="10">
        <f t="shared" ref="C32:J32" si="55">C13/C5</f>
        <v>-0.83788706739526408</v>
      </c>
      <c r="D32" s="10">
        <f t="shared" si="55"/>
        <v>-0.72903225806451621</v>
      </c>
      <c r="E32" s="10">
        <f t="shared" si="55"/>
        <v>-0.57311669128508114</v>
      </c>
      <c r="F32" s="10">
        <f t="shared" si="55"/>
        <v>-0.79833333333333345</v>
      </c>
      <c r="G32" s="10">
        <f t="shared" si="55"/>
        <v>-0.46336206896551724</v>
      </c>
      <c r="H32" s="10">
        <f t="shared" si="55"/>
        <v>-0.40639698965192855</v>
      </c>
      <c r="I32" s="10">
        <f t="shared" si="55"/>
        <v>-0.49522900763358785</v>
      </c>
      <c r="J32" s="10">
        <f t="shared" si="55"/>
        <v>-0.38972809667673802</v>
      </c>
      <c r="K32" s="10">
        <f t="shared" ref="K32:N32" si="56">K13/K5</f>
        <v>-0.38882183908045975</v>
      </c>
      <c r="L32" s="10">
        <f t="shared" si="56"/>
        <v>-0.37596022040048382</v>
      </c>
      <c r="M32" s="10">
        <f t="shared" si="56"/>
        <v>-0.4217175572519084</v>
      </c>
      <c r="N32" s="10">
        <f t="shared" si="56"/>
        <v>-0.34152783772119155</v>
      </c>
      <c r="Q32" s="10">
        <f t="shared" ref="Q32:S32" si="57">Q13/Q5</f>
        <v>-1.5596590909090908</v>
      </c>
      <c r="R32" s="10">
        <f t="shared" si="57"/>
        <v>-1.6414790996784563</v>
      </c>
      <c r="S32" s="10">
        <f t="shared" ref="S32:U32" si="58">S13/S5</f>
        <v>-0.64075829383886251</v>
      </c>
      <c r="T32" s="10">
        <f t="shared" si="58"/>
        <v>-0.72730989370400645</v>
      </c>
      <c r="U32" s="10">
        <f>U13/U5</f>
        <v>-0.43479257391702969</v>
      </c>
      <c r="V32" s="10">
        <f t="shared" ref="V32:AF32" si="59">V13/V5</f>
        <v>-0.38008500111008936</v>
      </c>
      <c r="W32" s="10">
        <f t="shared" si="59"/>
        <v>-0.29998405096441849</v>
      </c>
      <c r="X32" s="10">
        <f t="shared" si="59"/>
        <v>-0.22345346461081206</v>
      </c>
      <c r="Y32" s="10">
        <f t="shared" si="59"/>
        <v>-0.16299375681848971</v>
      </c>
      <c r="Z32" s="10">
        <f t="shared" si="59"/>
        <v>-9.8549121066169074E-2</v>
      </c>
      <c r="AA32" s="10">
        <f t="shared" si="59"/>
        <v>-3.4781261695581982E-2</v>
      </c>
      <c r="AB32" s="10">
        <f t="shared" si="59"/>
        <v>1.8783740175711161E-2</v>
      </c>
      <c r="AC32" s="10">
        <f t="shared" si="59"/>
        <v>6.3778341747597403E-2</v>
      </c>
      <c r="AD32" s="10">
        <f t="shared" si="59"/>
        <v>0.10157380706798175</v>
      </c>
      <c r="AE32" s="10">
        <f t="shared" si="59"/>
        <v>0.13332199793710475</v>
      </c>
      <c r="AF32" s="10">
        <f t="shared" si="59"/>
        <v>0.159990478267168</v>
      </c>
      <c r="AH32" s="2" t="s">
        <v>57</v>
      </c>
      <c r="AI32" s="11">
        <f>AI30/AI31-1</f>
        <v>-0.5430347296183955</v>
      </c>
    </row>
    <row r="33" spans="2:35" x14ac:dyDescent="0.3">
      <c r="B33" s="1" t="s">
        <v>27</v>
      </c>
      <c r="C33" s="10">
        <f t="shared" ref="C33:J33" si="60">C19/C18</f>
        <v>-1.1086474501108647E-2</v>
      </c>
      <c r="D33" s="10">
        <f t="shared" si="60"/>
        <v>-1.7738359201773836E-2</v>
      </c>
      <c r="E33" s="10">
        <f t="shared" si="60"/>
        <v>-3.6745406824146988E-2</v>
      </c>
      <c r="F33" s="10">
        <f t="shared" si="60"/>
        <v>-1.9762845849802379E-2</v>
      </c>
      <c r="G33" s="10">
        <f t="shared" si="60"/>
        <v>0</v>
      </c>
      <c r="H33" s="10">
        <f t="shared" si="60"/>
        <v>2.1226415094339621E-2</v>
      </c>
      <c r="I33" s="10">
        <f t="shared" si="60"/>
        <v>-1.7612524461839529E-2</v>
      </c>
      <c r="J33" s="10">
        <f t="shared" si="60"/>
        <v>-1.5473887814313322E-2</v>
      </c>
      <c r="K33" s="10">
        <f t="shared" ref="K33:N33" si="61">K19/K18</f>
        <v>0.01</v>
      </c>
      <c r="L33" s="10">
        <f t="shared" si="61"/>
        <v>0.01</v>
      </c>
      <c r="M33" s="10">
        <f t="shared" si="61"/>
        <v>0.01</v>
      </c>
      <c r="N33" s="10">
        <f t="shared" si="61"/>
        <v>0.01</v>
      </c>
      <c r="Q33" s="10">
        <f t="shared" ref="Q33:S33" si="62">Q19/Q18</f>
        <v>-9.1743119266055051E-3</v>
      </c>
      <c r="R33" s="10">
        <f t="shared" si="62"/>
        <v>6.0048038430744605E-2</v>
      </c>
      <c r="S33" s="10">
        <f t="shared" ref="S33:U33" si="63">S19/S18</f>
        <v>-2.2573363431151246E-2</v>
      </c>
      <c r="T33" s="10">
        <f t="shared" si="63"/>
        <v>-2.0681945220793745E-2</v>
      </c>
      <c r="U33" s="10">
        <f>U19/U18</f>
        <v>-4.2238648363252373E-3</v>
      </c>
      <c r="V33" s="10">
        <f t="shared" ref="V33:AF33" si="64">V19/V18</f>
        <v>9.8358462536011198E-3</v>
      </c>
      <c r="W33" s="10">
        <f t="shared" si="64"/>
        <v>0.01</v>
      </c>
      <c r="X33" s="10">
        <f t="shared" si="64"/>
        <v>0.01</v>
      </c>
      <c r="Y33" s="10">
        <f t="shared" si="64"/>
        <v>0.01</v>
      </c>
      <c r="Z33" s="10">
        <f t="shared" si="64"/>
        <v>0.01</v>
      </c>
      <c r="AA33" s="10">
        <f t="shared" si="64"/>
        <v>0.01</v>
      </c>
      <c r="AB33" s="10">
        <f t="shared" si="64"/>
        <v>0.01</v>
      </c>
      <c r="AC33" s="10">
        <f t="shared" si="64"/>
        <v>0.01</v>
      </c>
      <c r="AD33" s="10">
        <f t="shared" si="64"/>
        <v>0.01</v>
      </c>
      <c r="AE33" s="10">
        <f t="shared" si="64"/>
        <v>0.01</v>
      </c>
      <c r="AF33" s="10">
        <f t="shared" si="64"/>
        <v>0.01</v>
      </c>
      <c r="AH33" s="1" t="s">
        <v>58</v>
      </c>
      <c r="AI33" s="7" t="s">
        <v>59</v>
      </c>
    </row>
    <row r="34" spans="2:35" x14ac:dyDescent="0.3">
      <c r="B34" s="1" t="s">
        <v>48</v>
      </c>
      <c r="C34" s="10">
        <f t="shared" ref="C34:J34" si="65">C20/C5</f>
        <v>-0.8306010928961749</v>
      </c>
      <c r="D34" s="10">
        <f t="shared" si="65"/>
        <v>-0.74032258064516132</v>
      </c>
      <c r="E34" s="10">
        <f t="shared" si="65"/>
        <v>-0.58345642540620368</v>
      </c>
      <c r="F34" s="10">
        <f t="shared" si="65"/>
        <v>-0.86000000000000021</v>
      </c>
      <c r="G34" s="10">
        <f t="shared" si="65"/>
        <v>-0.47629310344827591</v>
      </c>
      <c r="H34" s="10">
        <f t="shared" si="65"/>
        <v>-0.39040451552210731</v>
      </c>
      <c r="I34" s="10">
        <f t="shared" si="65"/>
        <v>-0.49618320610687033</v>
      </c>
      <c r="J34" s="10">
        <f t="shared" si="65"/>
        <v>-0.39652567975830899</v>
      </c>
      <c r="K34" s="10">
        <f t="shared" ref="K34:N34" si="66">K20/K5</f>
        <v>-0.38493362068965514</v>
      </c>
      <c r="L34" s="10">
        <f t="shared" si="66"/>
        <v>-0.37220061819647904</v>
      </c>
      <c r="M34" s="10">
        <f t="shared" si="66"/>
        <v>-0.4175003816793893</v>
      </c>
      <c r="N34" s="10">
        <f t="shared" si="66"/>
        <v>-0.33811255934397966</v>
      </c>
      <c r="Q34" s="10">
        <f t="shared" ref="Q34:S34" si="67">Q20/Q5</f>
        <v>-1.5624999999999998</v>
      </c>
      <c r="R34" s="10">
        <f t="shared" si="67"/>
        <v>-1.8874598070739546</v>
      </c>
      <c r="S34" s="10">
        <f t="shared" ref="S34:U34" si="68">S20/S5</f>
        <v>-0.64407582938388619</v>
      </c>
      <c r="T34" s="10">
        <f t="shared" si="68"/>
        <v>-0.74652493867538827</v>
      </c>
      <c r="U34" s="10">
        <f>U20/U5</f>
        <v>-0.43593857437542988</v>
      </c>
      <c r="V34" s="10">
        <f t="shared" ref="V34:AF34" si="69">V20/V5</f>
        <v>-0.38262751752355001</v>
      </c>
      <c r="W34" s="10">
        <f t="shared" si="69"/>
        <v>-0.30214272665074809</v>
      </c>
      <c r="X34" s="10">
        <f t="shared" si="69"/>
        <v>-0.22561322153905197</v>
      </c>
      <c r="Y34" s="10">
        <f t="shared" si="69"/>
        <v>-0.16525107718145884</v>
      </c>
      <c r="Z34" s="10">
        <f t="shared" si="69"/>
        <v>-0.1011399071521691</v>
      </c>
      <c r="AA34" s="10">
        <f t="shared" si="69"/>
        <v>-3.7723624191554929E-2</v>
      </c>
      <c r="AB34" s="10">
        <f t="shared" si="69"/>
        <v>1.5568941670059584E-2</v>
      </c>
      <c r="AC34" s="10">
        <f t="shared" si="69"/>
        <v>6.0355754114538515E-2</v>
      </c>
      <c r="AD34" s="10">
        <f t="shared" si="69"/>
        <v>9.7996049118965645E-2</v>
      </c>
      <c r="AE34" s="10">
        <f t="shared" si="69"/>
        <v>0.12963171966966433</v>
      </c>
      <c r="AF34" s="10">
        <f t="shared" si="69"/>
        <v>0.15622207985947248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2025-04-24T13:16:39Z</dcterms:created>
  <dcterms:modified xsi:type="dcterms:W3CDTF">2025-04-24T14:02:42Z</dcterms:modified>
</cp:coreProperties>
</file>