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B015C25-EA00-4801-90BD-480EBE49539E}" xr6:coauthVersionLast="47" xr6:coauthVersionMax="47" xr10:uidLastSave="{00000000-0000-0000-0000-000000000000}"/>
  <bookViews>
    <workbookView xWindow="-108" yWindow="-108" windowWidth="23256" windowHeight="12576" activeTab="1" xr2:uid="{ADA5844A-1F00-4356-B68A-52B052A4B601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M3" i="2"/>
  <c r="L3" i="2"/>
  <c r="F3" i="2"/>
  <c r="N6" i="2"/>
  <c r="O6" i="2" s="1"/>
  <c r="P6" i="2" s="1"/>
  <c r="Q6" i="2" s="1"/>
  <c r="R6" i="2" s="1"/>
  <c r="S6" i="2" s="1"/>
  <c r="M6" i="2"/>
  <c r="J23" i="2"/>
  <c r="I23" i="2"/>
  <c r="H23" i="2"/>
  <c r="E23" i="2"/>
  <c r="D23" i="2"/>
  <c r="C23" i="2"/>
  <c r="L6" i="2"/>
  <c r="F18" i="2"/>
  <c r="K11" i="2"/>
  <c r="K10" i="2"/>
  <c r="K8" i="2"/>
  <c r="K7" i="2"/>
  <c r="K6" i="2"/>
  <c r="F21" i="2"/>
  <c r="E21" i="2"/>
  <c r="E18" i="2"/>
  <c r="F6" i="2"/>
  <c r="D22" i="2"/>
  <c r="D20" i="2"/>
  <c r="D19" i="2"/>
  <c r="D13" i="2"/>
  <c r="D11" i="2"/>
  <c r="D10" i="2"/>
  <c r="D8" i="2"/>
  <c r="D7" i="2"/>
  <c r="D6" i="2"/>
  <c r="D4" i="2"/>
  <c r="D5" i="2" s="1"/>
  <c r="D3" i="2"/>
  <c r="E22" i="2"/>
  <c r="C22" i="2"/>
  <c r="E20" i="2"/>
  <c r="C20" i="2"/>
  <c r="E19" i="2"/>
  <c r="C19" i="2"/>
  <c r="C5" i="2"/>
  <c r="C9" i="2" s="1"/>
  <c r="C12" i="2" s="1"/>
  <c r="C14" i="2" s="1"/>
  <c r="C16" i="2" s="1"/>
  <c r="E16" i="2"/>
  <c r="E14" i="2"/>
  <c r="E12" i="2"/>
  <c r="E9" i="2"/>
  <c r="E5" i="2"/>
  <c r="K3" i="2" l="1"/>
  <c r="F5" i="2"/>
  <c r="F4" i="2" s="1"/>
  <c r="K4" i="2" s="1"/>
  <c r="D9" i="2"/>
  <c r="D12" i="2" s="1"/>
  <c r="D14" i="2" s="1"/>
  <c r="D16" i="2" s="1"/>
  <c r="L5" i="2" l="1"/>
  <c r="K5" i="2"/>
  <c r="F19" i="2"/>
  <c r="F9" i="2"/>
  <c r="L11" i="2"/>
  <c r="M11" i="2" s="1"/>
  <c r="N11" i="2" s="1"/>
  <c r="O11" i="2" s="1"/>
  <c r="P11" i="2" s="1"/>
  <c r="Q11" i="2" s="1"/>
  <c r="R11" i="2" s="1"/>
  <c r="S11" i="2" s="1"/>
  <c r="T11" i="2" s="1"/>
  <c r="U11" i="2" s="1"/>
  <c r="X26" i="2"/>
  <c r="L8" i="2"/>
  <c r="M8" i="2" s="1"/>
  <c r="N8" i="2" s="1"/>
  <c r="O8" i="2" s="1"/>
  <c r="P8" i="2" s="1"/>
  <c r="Q8" i="2" s="1"/>
  <c r="R8" i="2" s="1"/>
  <c r="S8" i="2" s="1"/>
  <c r="T8" i="2" s="1"/>
  <c r="U8" i="2" s="1"/>
  <c r="K21" i="2"/>
  <c r="L18" i="2"/>
  <c r="J21" i="2"/>
  <c r="J20" i="2"/>
  <c r="J19" i="2"/>
  <c r="K18" i="2"/>
  <c r="J18" i="2"/>
  <c r="H22" i="2"/>
  <c r="H20" i="2"/>
  <c r="H19" i="2"/>
  <c r="I22" i="2"/>
  <c r="I21" i="2"/>
  <c r="I20" i="2"/>
  <c r="I19" i="2"/>
  <c r="I18" i="2"/>
  <c r="J5" i="2"/>
  <c r="J9" i="2" s="1"/>
  <c r="J12" i="2" s="1"/>
  <c r="J14" i="2" s="1"/>
  <c r="J16" i="2" s="1"/>
  <c r="I5" i="2"/>
  <c r="I9" i="2" s="1"/>
  <c r="I12" i="2" s="1"/>
  <c r="I14" i="2" s="1"/>
  <c r="I16" i="2" s="1"/>
  <c r="H16" i="2"/>
  <c r="H14" i="2"/>
  <c r="H12" i="2"/>
  <c r="H9" i="2"/>
  <c r="H5" i="2"/>
  <c r="D8" i="1"/>
  <c r="D5" i="1"/>
  <c r="F3" i="1"/>
  <c r="F20" i="2" l="1"/>
  <c r="F12" i="2"/>
  <c r="D9" i="1"/>
  <c r="X23" i="2"/>
  <c r="M5" i="2"/>
  <c r="K9" i="2"/>
  <c r="M21" i="2"/>
  <c r="L9" i="2"/>
  <c r="L12" i="2" s="1"/>
  <c r="L13" i="2" s="1"/>
  <c r="J22" i="2"/>
  <c r="L21" i="2"/>
  <c r="K19" i="2"/>
  <c r="F13" i="2" l="1"/>
  <c r="F14" i="2" s="1"/>
  <c r="N5" i="2"/>
  <c r="M18" i="2"/>
  <c r="K12" i="2"/>
  <c r="K20" i="2"/>
  <c r="L19" i="2"/>
  <c r="L4" i="2"/>
  <c r="L20" i="2"/>
  <c r="N21" i="2"/>
  <c r="L14" i="2"/>
  <c r="L23" i="2" s="1"/>
  <c r="F16" i="2" l="1"/>
  <c r="F23" i="2"/>
  <c r="K13" i="2"/>
  <c r="K22" i="2" s="1"/>
  <c r="F22" i="2"/>
  <c r="N4" i="2"/>
  <c r="O3" i="2"/>
  <c r="O5" i="2" s="1"/>
  <c r="O19" i="2" s="1"/>
  <c r="N18" i="2"/>
  <c r="M9" i="2"/>
  <c r="M20" i="2" s="1"/>
  <c r="M19" i="2"/>
  <c r="M4" i="2"/>
  <c r="N9" i="2"/>
  <c r="N20" i="2" s="1"/>
  <c r="N19" i="2"/>
  <c r="L16" i="2"/>
  <c r="O21" i="2"/>
  <c r="L22" i="2"/>
  <c r="M12" i="2" l="1"/>
  <c r="P3" i="2"/>
  <c r="O18" i="2"/>
  <c r="O4" i="2"/>
  <c r="O9" i="2"/>
  <c r="O20" i="2" s="1"/>
  <c r="K14" i="2"/>
  <c r="K23" i="2" s="1"/>
  <c r="P21" i="2"/>
  <c r="M13" i="2" l="1"/>
  <c r="M14" i="2" s="1"/>
  <c r="M23" i="2" s="1"/>
  <c r="P5" i="2"/>
  <c r="P4" i="2" s="1"/>
  <c r="P18" i="2"/>
  <c r="Q3" i="2"/>
  <c r="K16" i="2"/>
  <c r="Q21" i="2"/>
  <c r="M22" i="2" l="1"/>
  <c r="Q5" i="2"/>
  <c r="Q18" i="2"/>
  <c r="R3" i="2"/>
  <c r="P19" i="2"/>
  <c r="P9" i="2"/>
  <c r="P20" i="2" s="1"/>
  <c r="M16" i="2"/>
  <c r="N12" i="2"/>
  <c r="R21" i="2"/>
  <c r="R5" i="2" l="1"/>
  <c r="R4" i="2" s="1"/>
  <c r="R18" i="2"/>
  <c r="S3" i="2"/>
  <c r="Q19" i="2"/>
  <c r="Q9" i="2"/>
  <c r="Q20" i="2" s="1"/>
  <c r="Q4" i="2"/>
  <c r="N13" i="2"/>
  <c r="N22" i="2" s="1"/>
  <c r="T6" i="2"/>
  <c r="S21" i="2"/>
  <c r="S5" i="2" l="1"/>
  <c r="S4" i="2" s="1"/>
  <c r="T3" i="2"/>
  <c r="S18" i="2"/>
  <c r="R9" i="2"/>
  <c r="R20" i="2" s="1"/>
  <c r="R19" i="2"/>
  <c r="N14" i="2"/>
  <c r="N23" i="2" s="1"/>
  <c r="U6" i="2"/>
  <c r="T21" i="2"/>
  <c r="T5" i="2" l="1"/>
  <c r="U3" i="2"/>
  <c r="T18" i="2"/>
  <c r="S19" i="2"/>
  <c r="S9" i="2"/>
  <c r="S20" i="2" s="1"/>
  <c r="O12" i="2"/>
  <c r="N16" i="2"/>
  <c r="U21" i="2"/>
  <c r="T19" i="2" l="1"/>
  <c r="T9" i="2"/>
  <c r="T20" i="2" s="1"/>
  <c r="U5" i="2"/>
  <c r="U18" i="2"/>
  <c r="U4" i="2"/>
  <c r="T4" i="2"/>
  <c r="O13" i="2"/>
  <c r="O22" i="2" s="1"/>
  <c r="U19" i="2" l="1"/>
  <c r="U9" i="2"/>
  <c r="U20" i="2" s="1"/>
  <c r="O14" i="2"/>
  <c r="O23" i="2" s="1"/>
  <c r="O16" i="2" l="1"/>
  <c r="P10" i="2"/>
  <c r="P12" i="2" s="1"/>
  <c r="P13" i="2" l="1"/>
  <c r="P22" i="2" s="1"/>
  <c r="P14" i="2" l="1"/>
  <c r="Q10" i="2" l="1"/>
  <c r="Q12" i="2" s="1"/>
  <c r="Q13" i="2" s="1"/>
  <c r="Q22" i="2" s="1"/>
  <c r="P23" i="2"/>
  <c r="P16" i="2"/>
  <c r="Q14" i="2" l="1"/>
  <c r="Q23" i="2" s="1"/>
  <c r="R10" i="2" l="1"/>
  <c r="R12" i="2" s="1"/>
  <c r="R13" i="2" s="1"/>
  <c r="R22" i="2" s="1"/>
  <c r="Q16" i="2"/>
  <c r="R14" i="2" l="1"/>
  <c r="S10" i="2" l="1"/>
  <c r="S12" i="2" s="1"/>
  <c r="S13" i="2" s="1"/>
  <c r="S22" i="2" s="1"/>
  <c r="R23" i="2"/>
  <c r="R16" i="2"/>
  <c r="S14" i="2" l="1"/>
  <c r="S16" i="2" l="1"/>
  <c r="S23" i="2"/>
  <c r="T10" i="2"/>
  <c r="T12" i="2" s="1"/>
  <c r="T13" i="2" s="1"/>
  <c r="T22" i="2" s="1"/>
  <c r="T14" i="2" l="1"/>
  <c r="U10" i="2" l="1"/>
  <c r="U12" i="2" s="1"/>
  <c r="U13" i="2" s="1"/>
  <c r="U22" i="2" s="1"/>
  <c r="T23" i="2"/>
  <c r="T16" i="2"/>
  <c r="U14" i="2" l="1"/>
  <c r="U23" i="2" s="1"/>
  <c r="U16" i="2" l="1"/>
  <c r="V14" i="2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X22" i="2" s="1"/>
  <c r="X24" i="2" s="1"/>
  <c r="X25" i="2" s="1"/>
  <c r="X27" i="2" s="1"/>
</calcChain>
</file>

<file path=xl/sharedStrings.xml><?xml version="1.0" encoding="utf-8"?>
<sst xmlns="http://schemas.openxmlformats.org/spreadsheetml/2006/main" count="49" uniqueCount="44">
  <si>
    <t>ROO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</si>
  <si>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</si>
  <si>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</si>
  <si>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</si>
  <si>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</si>
  <si>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</si>
  <si>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</si>
  <si>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</si>
  <si>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</si>
  <si>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</si>
  <si>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</si>
  <si>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H220</t>
  </si>
  <si>
    <t>Revenue</t>
  </si>
  <si>
    <t>Cost of sales</t>
  </si>
  <si>
    <t>Gross profit</t>
  </si>
  <si>
    <t>H120</t>
  </si>
  <si>
    <t>H121</t>
  </si>
  <si>
    <t>H221</t>
  </si>
  <si>
    <t>G&amp;A</t>
  </si>
  <si>
    <t>Other operating income</t>
  </si>
  <si>
    <t>Other operating expenses</t>
  </si>
  <si>
    <t>Operating profit</t>
  </si>
  <si>
    <t>Finance income</t>
  </si>
  <si>
    <t>Finance costs</t>
  </si>
  <si>
    <t>Pretax profit</t>
  </si>
  <si>
    <t>Taxes</t>
  </si>
  <si>
    <t>Net profit</t>
  </si>
  <si>
    <t>EPS</t>
  </si>
  <si>
    <t>Revenue y/y</t>
  </si>
  <si>
    <t>Gross Margin</t>
  </si>
  <si>
    <t>Operating Margin</t>
  </si>
  <si>
    <t>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</si>
  <si>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</si>
  <si>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</si>
  <si>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</si>
  <si>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</si>
  <si>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</si>
  <si>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</si>
  <si>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</si>
  <si>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</si>
  <si>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</si>
  <si>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?</t>
  </si>
  <si>
    <t>Net Margin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</si>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</sst>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0" fontId="0" fillId="0" borderId="0" xfId="0" applyFont="1"/>
    <xf numFmtId="9" fontId="0" fillId="0" borderId="0" xfId="0" applyNumberFormat="1"/>
    <xf numFmtId="3" fontId="0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0</xdr:row>
      <xdr:rowOff>0</xdr:rowOff>
    </xdr:from>
    <xdr:to>
      <xdr:col>10</xdr:col>
      <xdr:colOff>22860</xdr:colOff>
      <xdr:row>33</xdr:row>
      <xdr:rowOff>60960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6607B70-AFE8-4609-9F7F-8E539B29EDE5}"/>
            </a:ext>
          </a:extLst>
        </xdr:cNvPr>
        <xdr:cNvCxnSpPr/>
      </xdr:nvCxnSpPr>
      <xdr:spPr>
        <a:xfrm>
          <a:off x="6286500" y="0"/>
          <a:ext cx="0" cy="6096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</xdr:colOff>
      <xdr:row>0</xdr:row>
      <xdr:rowOff>7620</xdr:rowOff>
    </xdr:from>
    <xdr:to>
      <xdr:col>5</xdr:col>
      <xdr:colOff>22860</xdr:colOff>
      <xdr:row>33</xdr:row>
      <xdr:rowOff>68580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B254B9D-B030-47EE-B8B7-2E7E7048A03F}"/>
            </a:ext>
          </a:extLst>
        </xdr:cNvPr>
        <xdr:cNvCxnSpPr/>
      </xdr:nvCxnSpPr>
      <xdr:spPr>
        <a:xfrm>
          <a:off x="3977640" y="7620"/>
          <a:ext cx="0" cy="6096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AD97-777E-4F6C-BE84-79E45DD18A8A}">
  <dimension ref="B2:G9"/>
  <sheetViews>
    <sheetView workbookViewId="0">
      <selection activeCell="D4" sqref="D4"/>
    </sheetView>
  </sheetViews>
  <sheetFormatPr defaultRowHeight="14.4" x14ac:dyDescent="0.3"/>
  <cols>
    <col min="4" max="4" width="10" bestFit="1" customWidth="1"/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3.6</v>
      </c>
      <c r="E3" s="3">
        <v>44420</v>
      </c>
      <c r="F3" s="3">
        <f ca="1">TODAY()</f>
        <v>44420</v>
      </c>
      <c r="G3" s="2" t="s">
        <v>41</v>
      </c>
    </row>
    <row r="4" spans="2:7" x14ac:dyDescent="0.3">
      <c r="C4" t="s">
        <v>2</v>
      </c>
      <c r="D4" s="5">
        <v>1526.8</v>
      </c>
      <c r="E4" s="2" t="s">
        <v>16</v>
      </c>
    </row>
    <row r="5" spans="2:7" x14ac:dyDescent="0.3">
      <c r="C5" t="s">
        <v>3</v>
      </c>
      <c r="D5" s="5">
        <f>D3*D4</f>
        <v>5496.48</v>
      </c>
    </row>
    <row r="6" spans="2:7" x14ac:dyDescent="0.3">
      <c r="C6" t="s">
        <v>4</v>
      </c>
      <c r="D6" s="5">
        <v>1626.7</v>
      </c>
      <c r="E6" s="2" t="s">
        <v>16</v>
      </c>
    </row>
    <row r="7" spans="2:7" x14ac:dyDescent="0.3">
      <c r="C7" t="s">
        <v>5</v>
      </c>
      <c r="D7" s="5">
        <v>0</v>
      </c>
      <c r="E7" s="2" t="s">
        <v>16</v>
      </c>
    </row>
    <row r="8" spans="2:7" x14ac:dyDescent="0.3">
      <c r="C8" t="s">
        <v>6</v>
      </c>
      <c r="D8" s="5">
        <f>D6-D7</f>
        <v>1626.7</v>
      </c>
    </row>
    <row r="9" spans="2:7" x14ac:dyDescent="0.3">
      <c r="C9" t="s">
        <v>7</v>
      </c>
      <c r="D9" s="5">
        <f>D5-D8</f>
        <v>3869.7799999999997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7E08-E8DF-44F4-88D6-E5E333D9A92A}">
  <dimension ref="B2:EH28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X21" sqref="X21"/>
    </sheetView>
  </sheetViews>
  <sheetFormatPr defaultRowHeight="14.4" x14ac:dyDescent="0.3"/>
  <cols>
    <col min="2" max="2" width="22.109375" bestFit="1" customWidth="1"/>
    <col min="23" max="23" width="11.88671875" bestFit="1" customWidth="1"/>
    <col min="24" max="24" width="17.5546875" bestFit="1" customWidth="1"/>
  </cols>
  <sheetData>
    <row r="2" spans="2:138" x14ac:dyDescent="0.3">
      <c r="C2" s="6" t="s">
        <v>15</v>
      </c>
      <c r="D2" s="6" t="s">
        <v>11</v>
      </c>
      <c r="E2" s="6" t="s">
        <v>16</v>
      </c>
      <c r="F2" s="6" t="s">
        <v>17</v>
      </c>
      <c r="G2" s="6"/>
      <c r="H2" s="6">
        <v>2018</v>
      </c>
      <c r="I2" s="6">
        <v>2019</v>
      </c>
      <c r="J2" s="6">
        <v>2020</v>
      </c>
      <c r="K2" s="6">
        <v>2021</v>
      </c>
      <c r="L2" s="6">
        <v>2022</v>
      </c>
      <c r="M2" s="6">
        <v>2023</v>
      </c>
      <c r="N2" s="6">
        <v>2024</v>
      </c>
      <c r="O2" s="6">
        <v>2025</v>
      </c>
      <c r="P2" s="6">
        <v>2026</v>
      </c>
      <c r="Q2" s="6">
        <v>2027</v>
      </c>
      <c r="R2" s="6">
        <v>2028</v>
      </c>
      <c r="S2" s="6">
        <v>2029</v>
      </c>
      <c r="T2" s="6">
        <v>2030</v>
      </c>
      <c r="U2" s="6">
        <v>2031</v>
      </c>
    </row>
    <row r="3" spans="2:138" s="1" customFormat="1" x14ac:dyDescent="0.3">
      <c r="B3" s="1" t="s">
        <v>12</v>
      </c>
      <c r="C3" s="8">
        <v>507.4</v>
      </c>
      <c r="D3" s="8">
        <f>J3-C3</f>
        <v>683.4</v>
      </c>
      <c r="E3" s="8">
        <v>922.5</v>
      </c>
      <c r="F3" s="8">
        <f>D3*1.7</f>
        <v>1161.78</v>
      </c>
      <c r="G3" s="8"/>
      <c r="H3" s="8">
        <v>476.2</v>
      </c>
      <c r="I3" s="8">
        <v>771.8</v>
      </c>
      <c r="J3" s="8">
        <v>1190.8</v>
      </c>
      <c r="K3" s="8">
        <f>SUM(E3:F3)</f>
        <v>2084.2799999999997</v>
      </c>
      <c r="L3" s="8">
        <f>K3*1.35</f>
        <v>2813.7779999999998</v>
      </c>
      <c r="M3" s="8">
        <f>L3*1.25</f>
        <v>3517.2224999999999</v>
      </c>
      <c r="N3" s="8">
        <f>M3*1.18</f>
        <v>4150.3225499999999</v>
      </c>
      <c r="O3" s="8">
        <f>N3*1.12</f>
        <v>4648.3612560000001</v>
      </c>
      <c r="P3" s="8">
        <f>O3*1.1</f>
        <v>5113.1973816000009</v>
      </c>
      <c r="Q3" s="8">
        <f>P3*1.08</f>
        <v>5522.2531721280011</v>
      </c>
      <c r="R3" s="8">
        <f>Q3*1.05</f>
        <v>5798.3658307344012</v>
      </c>
      <c r="S3" s="8">
        <f>R3*1.04</f>
        <v>6030.3004639637775</v>
      </c>
      <c r="T3" s="8">
        <f>S3*1.03</f>
        <v>6211.2094778826913</v>
      </c>
      <c r="U3" s="8">
        <f>T3*1.03</f>
        <v>6397.5457622191725</v>
      </c>
    </row>
    <row r="4" spans="2:138" x14ac:dyDescent="0.3">
      <c r="B4" t="s">
        <v>13</v>
      </c>
      <c r="C4" s="5">
        <v>356.8</v>
      </c>
      <c r="D4" s="11">
        <f>J4-C4</f>
        <v>477.7</v>
      </c>
      <c r="E4" s="5">
        <v>658.6</v>
      </c>
      <c r="F4" s="5">
        <f>F3-F5</f>
        <v>813.24599999999998</v>
      </c>
      <c r="H4" s="5">
        <v>384.9</v>
      </c>
      <c r="I4" s="5">
        <v>583.20000000000005</v>
      </c>
      <c r="J4" s="5">
        <v>834.5</v>
      </c>
      <c r="K4" s="11">
        <f>SUM(E4:F4)</f>
        <v>1471.846</v>
      </c>
      <c r="L4" s="5">
        <f t="shared" ref="L4:U4" si="0">L3-L5</f>
        <v>1969.6445999999999</v>
      </c>
      <c r="M4" s="5">
        <f t="shared" si="0"/>
        <v>2426.8835250000002</v>
      </c>
      <c r="N4" s="5">
        <f t="shared" si="0"/>
        <v>2863.7225595</v>
      </c>
      <c r="O4" s="5">
        <f t="shared" si="0"/>
        <v>3207.3692666400002</v>
      </c>
      <c r="P4" s="5">
        <f t="shared" si="0"/>
        <v>3528.106193304001</v>
      </c>
      <c r="Q4" s="5">
        <f t="shared" si="0"/>
        <v>3810.3546887683206</v>
      </c>
      <c r="R4" s="5">
        <f t="shared" si="0"/>
        <v>4000.872423206737</v>
      </c>
      <c r="S4" s="5">
        <f t="shared" si="0"/>
        <v>4160.9073201350066</v>
      </c>
      <c r="T4" s="5">
        <f t="shared" si="0"/>
        <v>4285.7345397390573</v>
      </c>
      <c r="U4" s="5">
        <f t="shared" si="0"/>
        <v>4414.3065759312285</v>
      </c>
    </row>
    <row r="5" spans="2:138" s="1" customFormat="1" x14ac:dyDescent="0.3">
      <c r="B5" s="1" t="s">
        <v>14</v>
      </c>
      <c r="C5" s="8">
        <f>C3-C4</f>
        <v>150.59999999999997</v>
      </c>
      <c r="D5" s="8">
        <f>D3-D4</f>
        <v>205.7</v>
      </c>
      <c r="E5" s="8">
        <f>E3-E4</f>
        <v>263.89999999999998</v>
      </c>
      <c r="F5" s="8">
        <f>F3*0.3</f>
        <v>348.53399999999999</v>
      </c>
      <c r="H5" s="8">
        <f>H3-H4</f>
        <v>91.300000000000011</v>
      </c>
      <c r="I5" s="8">
        <f>I3-I4</f>
        <v>188.59999999999991</v>
      </c>
      <c r="J5" s="8">
        <f>J3-J4</f>
        <v>356.29999999999995</v>
      </c>
      <c r="K5" s="8">
        <f>K3-K4</f>
        <v>612.43399999999974</v>
      </c>
      <c r="L5" s="8">
        <f>L3*0.3</f>
        <v>844.13339999999994</v>
      </c>
      <c r="M5" s="8">
        <f t="shared" ref="M5:U5" si="1">M3*0.31</f>
        <v>1090.3389749999999</v>
      </c>
      <c r="N5" s="8">
        <f t="shared" si="1"/>
        <v>1286.5999904999999</v>
      </c>
      <c r="O5" s="8">
        <f t="shared" si="1"/>
        <v>1440.9919893599999</v>
      </c>
      <c r="P5" s="8">
        <f t="shared" si="1"/>
        <v>1585.0911882960002</v>
      </c>
      <c r="Q5" s="8">
        <f t="shared" si="1"/>
        <v>1711.8984833596803</v>
      </c>
      <c r="R5" s="8">
        <f t="shared" si="1"/>
        <v>1797.4934075276644</v>
      </c>
      <c r="S5" s="8">
        <f t="shared" si="1"/>
        <v>1869.3931438287709</v>
      </c>
      <c r="T5" s="8">
        <f t="shared" si="1"/>
        <v>1925.4749381436343</v>
      </c>
      <c r="U5" s="8">
        <f t="shared" si="1"/>
        <v>1983.2391862879435</v>
      </c>
    </row>
    <row r="6" spans="2:138" x14ac:dyDescent="0.3">
      <c r="B6" t="s">
        <v>18</v>
      </c>
      <c r="C6" s="5">
        <v>275.60000000000002</v>
      </c>
      <c r="D6" s="11">
        <f>J6-C6</f>
        <v>293.29999999999995</v>
      </c>
      <c r="E6" s="5">
        <v>364.2</v>
      </c>
      <c r="F6" s="5">
        <f>D6*1.3</f>
        <v>381.28999999999996</v>
      </c>
      <c r="H6" s="5">
        <v>346.5</v>
      </c>
      <c r="I6" s="5">
        <v>502.2</v>
      </c>
      <c r="J6" s="5">
        <v>568.9</v>
      </c>
      <c r="K6" s="11">
        <f>SUM(E6:F6)</f>
        <v>745.49</v>
      </c>
      <c r="L6" s="5">
        <f>K6*1.18</f>
        <v>879.67819999999995</v>
      </c>
      <c r="M6" s="5">
        <f>L6*1.12</f>
        <v>985.23958400000004</v>
      </c>
      <c r="N6" s="5">
        <f>M6*1.08</f>
        <v>1064.05875072</v>
      </c>
      <c r="O6" s="5">
        <f>N6*1.05</f>
        <v>1117.2616882560001</v>
      </c>
      <c r="P6" s="5">
        <f>O6*1.04</f>
        <v>1161.9521557862402</v>
      </c>
      <c r="Q6" s="5">
        <f>P6*1.03</f>
        <v>1196.8107204598273</v>
      </c>
      <c r="R6" s="5">
        <f t="shared" ref="R6:S6" si="2">Q6*1.03</f>
        <v>1232.715042073622</v>
      </c>
      <c r="S6" s="5">
        <f t="shared" si="2"/>
        <v>1269.6964933358308</v>
      </c>
      <c r="T6" s="5">
        <f t="shared" ref="T6:U6" si="3">S6*1.02</f>
        <v>1295.0904232025475</v>
      </c>
      <c r="U6" s="5">
        <f t="shared" si="3"/>
        <v>1320.9922316665984</v>
      </c>
    </row>
    <row r="7" spans="2:138" x14ac:dyDescent="0.3">
      <c r="B7" t="s">
        <v>19</v>
      </c>
      <c r="C7" s="5">
        <v>-2.7</v>
      </c>
      <c r="D7" s="11">
        <f>J7-C7</f>
        <v>-1.2999999999999998</v>
      </c>
      <c r="E7" s="5">
        <v>-1.2</v>
      </c>
      <c r="F7" s="5">
        <v>-1</v>
      </c>
      <c r="H7" s="5">
        <v>-1.1000000000000001</v>
      </c>
      <c r="I7" s="5">
        <v>-0.4</v>
      </c>
      <c r="J7" s="5">
        <v>-4</v>
      </c>
      <c r="K7" s="11">
        <f>SUM(E7:F7)</f>
        <v>-2.2000000000000002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</row>
    <row r="8" spans="2:138" x14ac:dyDescent="0.3">
      <c r="B8" t="s">
        <v>20</v>
      </c>
      <c r="C8" s="5">
        <v>4.8</v>
      </c>
      <c r="D8" s="11">
        <f>J8-C8</f>
        <v>7.7</v>
      </c>
      <c r="E8" s="5">
        <v>8.1</v>
      </c>
      <c r="F8" s="5">
        <v>8</v>
      </c>
      <c r="H8" s="5">
        <v>3</v>
      </c>
      <c r="I8" s="5">
        <v>6.7</v>
      </c>
      <c r="J8" s="5">
        <v>12.5</v>
      </c>
      <c r="K8" s="11">
        <f>SUM(E8:F8)</f>
        <v>16.100000000000001</v>
      </c>
      <c r="L8" s="11">
        <f>K8*1.4</f>
        <v>22.54</v>
      </c>
      <c r="M8" s="11">
        <f>L8*1.2</f>
        <v>27.047999999999998</v>
      </c>
      <c r="N8" s="11">
        <f>M8*1.15</f>
        <v>31.105199999999996</v>
      </c>
      <c r="O8" s="11">
        <f>N8*1.12</f>
        <v>34.837823999999998</v>
      </c>
      <c r="P8" s="11">
        <f>O8*1.1</f>
        <v>38.3216064</v>
      </c>
      <c r="Q8" s="11">
        <f>P8*1.09</f>
        <v>41.770550976000003</v>
      </c>
      <c r="R8" s="11">
        <f>Q8*1.08</f>
        <v>45.112195054080004</v>
      </c>
      <c r="S8" s="11">
        <f>R8*1.05</f>
        <v>47.367804806784008</v>
      </c>
      <c r="T8" s="11">
        <f>S8*1.04</f>
        <v>49.262516999055372</v>
      </c>
      <c r="U8" s="11">
        <f>T8*1.03</f>
        <v>50.740392509027032</v>
      </c>
    </row>
    <row r="9" spans="2:138" s="1" customFormat="1" x14ac:dyDescent="0.3">
      <c r="B9" s="1" t="s">
        <v>21</v>
      </c>
      <c r="C9" s="8">
        <f>C5-C6-C7-C8</f>
        <v>-127.10000000000005</v>
      </c>
      <c r="D9" s="8">
        <f>D5-D6-D7-D8</f>
        <v>-93.999999999999972</v>
      </c>
      <c r="E9" s="8">
        <f>E5-E6-E7-E8</f>
        <v>-107.2</v>
      </c>
      <c r="F9" s="8">
        <f>F5-F6-F7-F8</f>
        <v>-39.755999999999972</v>
      </c>
      <c r="H9" s="8">
        <f>H5-H6-H7-H8</f>
        <v>-257.10000000000002</v>
      </c>
      <c r="I9" s="8">
        <f>I5-I6-I7-I8</f>
        <v>-319.90000000000009</v>
      </c>
      <c r="J9" s="8">
        <f>J5-J6-J7-J8</f>
        <v>-221.10000000000002</v>
      </c>
      <c r="K9" s="8">
        <f t="shared" ref="K9:U9" si="4">K5-K6-K7-K8</f>
        <v>-146.95600000000027</v>
      </c>
      <c r="L9" s="8">
        <f t="shared" si="4"/>
        <v>-58.084800000000008</v>
      </c>
      <c r="M9" s="8">
        <f t="shared" si="4"/>
        <v>78.051390999999853</v>
      </c>
      <c r="N9" s="8">
        <f t="shared" si="4"/>
        <v>191.43603977999985</v>
      </c>
      <c r="O9" s="8">
        <f t="shared" si="4"/>
        <v>288.89247710399985</v>
      </c>
      <c r="P9" s="8">
        <f t="shared" si="4"/>
        <v>384.81742610975999</v>
      </c>
      <c r="Q9" s="8">
        <f t="shared" si="4"/>
        <v>473.31721192385305</v>
      </c>
      <c r="R9" s="8">
        <f t="shared" si="4"/>
        <v>519.66617039996243</v>
      </c>
      <c r="S9" s="8">
        <f t="shared" si="4"/>
        <v>552.32884568615611</v>
      </c>
      <c r="T9" s="8">
        <f t="shared" si="4"/>
        <v>581.12199794203138</v>
      </c>
      <c r="U9" s="8">
        <f t="shared" si="4"/>
        <v>611.50656211231808</v>
      </c>
    </row>
    <row r="10" spans="2:138" x14ac:dyDescent="0.3">
      <c r="B10" t="s">
        <v>22</v>
      </c>
      <c r="C10" s="5">
        <v>-0.8</v>
      </c>
      <c r="D10" s="11">
        <f>J10-C10</f>
        <v>-9.9999999999999978E-2</v>
      </c>
      <c r="E10" s="5">
        <v>-3</v>
      </c>
      <c r="F10" s="5">
        <v>-1</v>
      </c>
      <c r="H10" s="5">
        <v>-13.8</v>
      </c>
      <c r="I10" s="5">
        <v>-4.0999999999999996</v>
      </c>
      <c r="J10" s="5">
        <v>-0.9</v>
      </c>
      <c r="K10" s="11">
        <f>SUM(E10:F10)</f>
        <v>-4</v>
      </c>
      <c r="L10" s="5">
        <v>-2</v>
      </c>
      <c r="M10" s="5">
        <v>-2</v>
      </c>
      <c r="N10" s="5">
        <v>-2</v>
      </c>
      <c r="O10" s="5">
        <v>-2</v>
      </c>
      <c r="P10" s="5">
        <f t="shared" ref="P10:U10" si="5">-O14*0.01</f>
        <v>-2.2536052955215986</v>
      </c>
      <c r="Q10" s="5">
        <f t="shared" si="5"/>
        <v>-3.0089713471417245</v>
      </c>
      <c r="R10" s="5">
        <f t="shared" si="5"/>
        <v>-3.709686964794459</v>
      </c>
      <c r="S10" s="5">
        <f t="shared" si="5"/>
        <v>-4.077116199491468</v>
      </c>
      <c r="T10" s="5">
        <f t="shared" si="5"/>
        <v>-4.3351763715219986</v>
      </c>
      <c r="U10" s="5">
        <f t="shared" si="5"/>
        <v>-4.5622637206074694</v>
      </c>
    </row>
    <row r="11" spans="2:138" x14ac:dyDescent="0.3">
      <c r="B11" t="s">
        <v>23</v>
      </c>
      <c r="C11" s="5">
        <v>2.1</v>
      </c>
      <c r="D11" s="11">
        <f>J11-C11</f>
        <v>3.1999999999999997</v>
      </c>
      <c r="E11" s="5">
        <v>0.6</v>
      </c>
      <c r="F11" s="5">
        <v>2</v>
      </c>
      <c r="H11" s="5">
        <v>0</v>
      </c>
      <c r="I11" s="5">
        <v>1.9</v>
      </c>
      <c r="J11" s="5">
        <v>5.3</v>
      </c>
      <c r="K11" s="11">
        <f>SUM(E11:F11)</f>
        <v>2.6</v>
      </c>
      <c r="L11" s="11">
        <f>K11*1.4</f>
        <v>3.6399999999999997</v>
      </c>
      <c r="M11" s="11">
        <f>L11*1.2</f>
        <v>4.3679999999999994</v>
      </c>
      <c r="N11" s="11">
        <f>M11*1.15</f>
        <v>5.0231999999999992</v>
      </c>
      <c r="O11" s="11">
        <f>N11*1.12</f>
        <v>5.6259839999999999</v>
      </c>
      <c r="P11" s="11">
        <f>O11*1.1</f>
        <v>6.1885824000000005</v>
      </c>
      <c r="Q11" s="11">
        <f>P11*1.09</f>
        <v>6.7455548160000012</v>
      </c>
      <c r="R11" s="11">
        <f>Q11*1.08</f>
        <v>7.285199201280002</v>
      </c>
      <c r="S11" s="11">
        <f>R11*1.05</f>
        <v>7.6494591613440024</v>
      </c>
      <c r="T11" s="11">
        <f>S11*1.04</f>
        <v>7.9554375277977627</v>
      </c>
      <c r="U11" s="11">
        <f>T11*1.03</f>
        <v>8.1941006536316952</v>
      </c>
    </row>
    <row r="12" spans="2:138" s="1" customFormat="1" x14ac:dyDescent="0.3">
      <c r="B12" s="1" t="s">
        <v>24</v>
      </c>
      <c r="C12" s="8">
        <f>C9-C10-C11</f>
        <v>-128.40000000000006</v>
      </c>
      <c r="D12" s="8">
        <f>D9-D10-D11</f>
        <v>-97.09999999999998</v>
      </c>
      <c r="E12" s="8">
        <f>E9-E10-E11</f>
        <v>-104.8</v>
      </c>
      <c r="F12" s="8">
        <f>F9-F10-F11</f>
        <v>-40.755999999999972</v>
      </c>
      <c r="H12" s="8">
        <f>H9-H10-H11</f>
        <v>-243.3</v>
      </c>
      <c r="I12" s="8">
        <f>I9-I10-I11</f>
        <v>-317.70000000000005</v>
      </c>
      <c r="J12" s="8">
        <f>J9-J10-J11</f>
        <v>-225.50000000000003</v>
      </c>
      <c r="K12" s="8">
        <f t="shared" ref="K12:U12" si="6">K9-K10-K11</f>
        <v>-145.55600000000027</v>
      </c>
      <c r="L12" s="8">
        <f t="shared" si="6"/>
        <v>-59.724800000000009</v>
      </c>
      <c r="M12" s="8">
        <f t="shared" si="6"/>
        <v>75.683390999999858</v>
      </c>
      <c r="N12" s="8">
        <f t="shared" si="6"/>
        <v>188.41283977999984</v>
      </c>
      <c r="O12" s="8">
        <f t="shared" si="6"/>
        <v>285.26649310399984</v>
      </c>
      <c r="P12" s="8">
        <f t="shared" si="6"/>
        <v>380.88244900528161</v>
      </c>
      <c r="Q12" s="8">
        <f t="shared" si="6"/>
        <v>469.58062845499478</v>
      </c>
      <c r="R12" s="8">
        <f t="shared" si="6"/>
        <v>516.09065816347697</v>
      </c>
      <c r="S12" s="8">
        <f t="shared" si="6"/>
        <v>548.75650272430357</v>
      </c>
      <c r="T12" s="8">
        <f t="shared" si="6"/>
        <v>577.50173678575561</v>
      </c>
      <c r="U12" s="8">
        <f t="shared" si="6"/>
        <v>607.87472517929382</v>
      </c>
    </row>
    <row r="13" spans="2:138" x14ac:dyDescent="0.3">
      <c r="B13" t="s">
        <v>25</v>
      </c>
      <c r="C13" s="5">
        <v>-2.2000000000000002</v>
      </c>
      <c r="D13" s="11">
        <f>J13-C13</f>
        <v>3.1</v>
      </c>
      <c r="E13" s="5">
        <v>3.9</v>
      </c>
      <c r="F13" s="5">
        <f>F12*0.02</f>
        <v>-0.8151199999999994</v>
      </c>
      <c r="H13" s="5">
        <v>-11.3</v>
      </c>
      <c r="I13" s="5">
        <v>-0.4</v>
      </c>
      <c r="J13" s="5">
        <v>0.9</v>
      </c>
      <c r="K13" s="11">
        <f>SUM(E13:F13)</f>
        <v>3.0848800000000005</v>
      </c>
      <c r="L13" s="5">
        <f>L12*0.02</f>
        <v>-1.1944960000000002</v>
      </c>
      <c r="M13" s="5">
        <f>M12*0.02</f>
        <v>1.5136678199999971</v>
      </c>
      <c r="N13" s="5">
        <f t="shared" ref="N13:U13" si="7">N12*0.21</f>
        <v>39.566696353799962</v>
      </c>
      <c r="O13" s="5">
        <f t="shared" si="7"/>
        <v>59.90596355183996</v>
      </c>
      <c r="P13" s="5">
        <f t="shared" si="7"/>
        <v>79.985314291109134</v>
      </c>
      <c r="Q13" s="5">
        <f t="shared" si="7"/>
        <v>98.611931975548899</v>
      </c>
      <c r="R13" s="5">
        <f t="shared" si="7"/>
        <v>108.37903821433017</v>
      </c>
      <c r="S13" s="5">
        <f t="shared" si="7"/>
        <v>115.23886557210375</v>
      </c>
      <c r="T13" s="5">
        <f t="shared" si="7"/>
        <v>121.27536472500867</v>
      </c>
      <c r="U13" s="5">
        <f t="shared" si="7"/>
        <v>127.65369228765169</v>
      </c>
    </row>
    <row r="14" spans="2:138" s="1" customFormat="1" x14ac:dyDescent="0.3">
      <c r="B14" s="1" t="s">
        <v>26</v>
      </c>
      <c r="C14" s="8">
        <f>C12-C13</f>
        <v>-126.20000000000006</v>
      </c>
      <c r="D14" s="8">
        <f>D12-D13</f>
        <v>-100.19999999999997</v>
      </c>
      <c r="E14" s="8">
        <f>E12-E13</f>
        <v>-108.7</v>
      </c>
      <c r="F14" s="8">
        <f t="shared" ref="F14" si="8">F12-F13</f>
        <v>-39.940879999999972</v>
      </c>
      <c r="H14" s="8">
        <f>H12-H13</f>
        <v>-232</v>
      </c>
      <c r="I14" s="8">
        <f>I12-I13</f>
        <v>-317.30000000000007</v>
      </c>
      <c r="J14" s="8">
        <f>J12-J13</f>
        <v>-226.40000000000003</v>
      </c>
      <c r="K14" s="8">
        <f t="shared" ref="K14:U14" si="9">K12-K13</f>
        <v>-148.64088000000027</v>
      </c>
      <c r="L14" s="8">
        <f t="shared" si="9"/>
        <v>-58.530304000000008</v>
      </c>
      <c r="M14" s="8">
        <f t="shared" si="9"/>
        <v>74.169723179999863</v>
      </c>
      <c r="N14" s="8">
        <f t="shared" si="9"/>
        <v>148.84614342619989</v>
      </c>
      <c r="O14" s="8">
        <f t="shared" si="9"/>
        <v>225.36052955215987</v>
      </c>
      <c r="P14" s="8">
        <f t="shared" si="9"/>
        <v>300.89713471417247</v>
      </c>
      <c r="Q14" s="8">
        <f t="shared" si="9"/>
        <v>370.9686964794459</v>
      </c>
      <c r="R14" s="8">
        <f t="shared" si="9"/>
        <v>407.71161994914678</v>
      </c>
      <c r="S14" s="8">
        <f t="shared" si="9"/>
        <v>433.51763715219982</v>
      </c>
      <c r="T14" s="8">
        <f t="shared" si="9"/>
        <v>456.22637206074694</v>
      </c>
      <c r="U14" s="8">
        <f t="shared" si="9"/>
        <v>480.22103289164215</v>
      </c>
      <c r="V14" s="1">
        <f>U14*(1+$X$20)</f>
        <v>475.41882256272572</v>
      </c>
      <c r="W14" s="1">
        <f t="shared" ref="W14:CH14" si="10">V14*(1+$X$20)</f>
        <v>470.66463433709845</v>
      </c>
      <c r="X14" s="1">
        <f t="shared" si="10"/>
        <v>465.95798799372744</v>
      </c>
      <c r="Y14" s="1">
        <f t="shared" si="10"/>
        <v>461.29840811379017</v>
      </c>
      <c r="Z14" s="1">
        <f t="shared" si="10"/>
        <v>456.68542403265229</v>
      </c>
      <c r="AA14" s="1">
        <f t="shared" si="10"/>
        <v>452.11856979232579</v>
      </c>
      <c r="AB14" s="1">
        <f t="shared" si="10"/>
        <v>447.59738409440251</v>
      </c>
      <c r="AC14" s="1">
        <f t="shared" si="10"/>
        <v>443.12141025345846</v>
      </c>
      <c r="AD14" s="1">
        <f t="shared" si="10"/>
        <v>438.6901961509239</v>
      </c>
      <c r="AE14" s="1">
        <f t="shared" si="10"/>
        <v>434.30329418941466</v>
      </c>
      <c r="AF14" s="1">
        <f t="shared" si="10"/>
        <v>429.96026124752052</v>
      </c>
      <c r="AG14" s="1">
        <f t="shared" si="10"/>
        <v>425.66065863504531</v>
      </c>
      <c r="AH14" s="1">
        <f t="shared" si="10"/>
        <v>421.40405204869484</v>
      </c>
      <c r="AI14" s="1">
        <f t="shared" si="10"/>
        <v>417.19001152820789</v>
      </c>
      <c r="AJ14" s="1">
        <f t="shared" si="10"/>
        <v>413.0181114129258</v>
      </c>
      <c r="AK14" s="1">
        <f t="shared" si="10"/>
        <v>408.88793029879656</v>
      </c>
      <c r="AL14" s="1">
        <f t="shared" si="10"/>
        <v>404.79905099580861</v>
      </c>
      <c r="AM14" s="1">
        <f t="shared" si="10"/>
        <v>400.75106048585053</v>
      </c>
      <c r="AN14" s="1">
        <f t="shared" si="10"/>
        <v>396.74354988099202</v>
      </c>
      <c r="AO14" s="1">
        <f t="shared" si="10"/>
        <v>392.77611438218207</v>
      </c>
      <c r="AP14" s="1">
        <f t="shared" si="10"/>
        <v>388.84835323836023</v>
      </c>
      <c r="AQ14" s="1">
        <f t="shared" si="10"/>
        <v>384.95986970597664</v>
      </c>
      <c r="AR14" s="1">
        <f t="shared" si="10"/>
        <v>381.11027100891687</v>
      </c>
      <c r="AS14" s="1">
        <f t="shared" si="10"/>
        <v>377.29916829882768</v>
      </c>
      <c r="AT14" s="1">
        <f t="shared" si="10"/>
        <v>373.5261766158394</v>
      </c>
      <c r="AU14" s="1">
        <f t="shared" si="10"/>
        <v>369.79091484968103</v>
      </c>
      <c r="AV14" s="1">
        <f t="shared" si="10"/>
        <v>366.09300570118421</v>
      </c>
      <c r="AW14" s="1">
        <f t="shared" si="10"/>
        <v>362.43207564417236</v>
      </c>
      <c r="AX14" s="1">
        <f t="shared" si="10"/>
        <v>358.80775488773065</v>
      </c>
      <c r="AY14" s="1">
        <f t="shared" si="10"/>
        <v>355.21967733885333</v>
      </c>
      <c r="AZ14" s="1">
        <f t="shared" si="10"/>
        <v>351.66748056546481</v>
      </c>
      <c r="BA14" s="1">
        <f t="shared" si="10"/>
        <v>348.15080575981017</v>
      </c>
      <c r="BB14" s="1">
        <f t="shared" si="10"/>
        <v>344.66929770221208</v>
      </c>
      <c r="BC14" s="1">
        <f t="shared" si="10"/>
        <v>341.22260472518997</v>
      </c>
      <c r="BD14" s="1">
        <f t="shared" si="10"/>
        <v>337.81037867793805</v>
      </c>
      <c r="BE14" s="1">
        <f t="shared" si="10"/>
        <v>334.43227489115867</v>
      </c>
      <c r="BF14" s="1">
        <f t="shared" si="10"/>
        <v>331.0879521422471</v>
      </c>
      <c r="BG14" s="1">
        <f t="shared" si="10"/>
        <v>327.77707262082464</v>
      </c>
      <c r="BH14" s="1">
        <f t="shared" si="10"/>
        <v>324.49930189461639</v>
      </c>
      <c r="BI14" s="1">
        <f t="shared" si="10"/>
        <v>321.25430887567023</v>
      </c>
      <c r="BJ14" s="1">
        <f t="shared" si="10"/>
        <v>318.04176578691352</v>
      </c>
      <c r="BK14" s="1">
        <f t="shared" si="10"/>
        <v>314.86134812904436</v>
      </c>
      <c r="BL14" s="1">
        <f t="shared" si="10"/>
        <v>311.7127346477539</v>
      </c>
      <c r="BM14" s="1">
        <f t="shared" si="10"/>
        <v>308.59560730127635</v>
      </c>
      <c r="BN14" s="1">
        <f t="shared" si="10"/>
        <v>305.50965122826358</v>
      </c>
      <c r="BO14" s="1">
        <f t="shared" si="10"/>
        <v>302.45455471598092</v>
      </c>
      <c r="BP14" s="1">
        <f t="shared" si="10"/>
        <v>299.43000916882113</v>
      </c>
      <c r="BQ14" s="1">
        <f t="shared" si="10"/>
        <v>296.43570907713291</v>
      </c>
      <c r="BR14" s="1">
        <f t="shared" si="10"/>
        <v>293.47135198636158</v>
      </c>
      <c r="BS14" s="1">
        <f t="shared" si="10"/>
        <v>290.53663846649795</v>
      </c>
      <c r="BT14" s="1">
        <f t="shared" si="10"/>
        <v>287.63127208183295</v>
      </c>
      <c r="BU14" s="1">
        <f t="shared" si="10"/>
        <v>284.75495936101464</v>
      </c>
      <c r="BV14" s="1">
        <f t="shared" si="10"/>
        <v>281.90740976740449</v>
      </c>
      <c r="BW14" s="1">
        <f t="shared" si="10"/>
        <v>279.08833566973044</v>
      </c>
      <c r="BX14" s="1">
        <f t="shared" si="10"/>
        <v>276.29745231303315</v>
      </c>
      <c r="BY14" s="1">
        <f t="shared" si="10"/>
        <v>273.53447778990284</v>
      </c>
      <c r="BZ14" s="1">
        <f t="shared" si="10"/>
        <v>270.79913301200378</v>
      </c>
      <c r="CA14" s="1">
        <f t="shared" si="10"/>
        <v>268.09114168188376</v>
      </c>
      <c r="CB14" s="1">
        <f t="shared" si="10"/>
        <v>265.41023026506491</v>
      </c>
      <c r="CC14" s="1">
        <f t="shared" si="10"/>
        <v>262.75612796241427</v>
      </c>
      <c r="CD14" s="1">
        <f t="shared" si="10"/>
        <v>260.12856668279011</v>
      </c>
      <c r="CE14" s="1">
        <f t="shared" si="10"/>
        <v>257.52728101596222</v>
      </c>
      <c r="CF14" s="1">
        <f t="shared" si="10"/>
        <v>254.9520082058026</v>
      </c>
      <c r="CG14" s="1">
        <f t="shared" si="10"/>
        <v>252.40248812374458</v>
      </c>
      <c r="CH14" s="1">
        <f t="shared" si="10"/>
        <v>249.87846324250714</v>
      </c>
      <c r="CI14" s="1">
        <f t="shared" ref="CI14:EH14" si="11">CH14*(1+$X$20)</f>
        <v>247.37967861008207</v>
      </c>
      <c r="CJ14" s="1">
        <f t="shared" si="11"/>
        <v>244.90588182398125</v>
      </c>
      <c r="CK14" s="1">
        <f t="shared" si="11"/>
        <v>242.45682300574143</v>
      </c>
      <c r="CL14" s="1">
        <f t="shared" si="11"/>
        <v>240.03225477568401</v>
      </c>
      <c r="CM14" s="1">
        <f t="shared" si="11"/>
        <v>237.63193222792717</v>
      </c>
      <c r="CN14" s="1">
        <f t="shared" si="11"/>
        <v>235.25561290564789</v>
      </c>
      <c r="CO14" s="1">
        <f t="shared" si="11"/>
        <v>232.9030567765914</v>
      </c>
      <c r="CP14" s="1">
        <f t="shared" si="11"/>
        <v>230.57402620882547</v>
      </c>
      <c r="CQ14" s="1">
        <f t="shared" si="11"/>
        <v>228.26828594673722</v>
      </c>
      <c r="CR14" s="1">
        <f t="shared" si="11"/>
        <v>225.98560308726985</v>
      </c>
      <c r="CS14" s="1">
        <f t="shared" si="11"/>
        <v>223.72574705639715</v>
      </c>
      <c r="CT14" s="1">
        <f t="shared" si="11"/>
        <v>221.48848958583318</v>
      </c>
      <c r="CU14" s="1">
        <f t="shared" si="11"/>
        <v>219.27360468997483</v>
      </c>
      <c r="CV14" s="1">
        <f t="shared" si="11"/>
        <v>217.08086864307509</v>
      </c>
      <c r="CW14" s="1">
        <f t="shared" si="11"/>
        <v>214.91005995664435</v>
      </c>
      <c r="CX14" s="1">
        <f t="shared" si="11"/>
        <v>212.76095935707789</v>
      </c>
      <c r="CY14" s="1">
        <f t="shared" si="11"/>
        <v>210.63334976350711</v>
      </c>
      <c r="CZ14" s="1">
        <f t="shared" si="11"/>
        <v>208.52701626587205</v>
      </c>
      <c r="DA14" s="1">
        <f t="shared" si="11"/>
        <v>206.44174610321332</v>
      </c>
      <c r="DB14" s="1">
        <f t="shared" si="11"/>
        <v>204.3773286421812</v>
      </c>
      <c r="DC14" s="1">
        <f t="shared" si="11"/>
        <v>202.33355535575939</v>
      </c>
      <c r="DD14" s="1">
        <f t="shared" si="11"/>
        <v>200.3102198022018</v>
      </c>
      <c r="DE14" s="1">
        <f t="shared" si="11"/>
        <v>198.30711760417978</v>
      </c>
      <c r="DF14" s="1">
        <f t="shared" si="11"/>
        <v>196.32404642813799</v>
      </c>
      <c r="DG14" s="1">
        <f t="shared" si="11"/>
        <v>194.36080596385662</v>
      </c>
      <c r="DH14" s="1">
        <f t="shared" si="11"/>
        <v>192.41719790421806</v>
      </c>
      <c r="DI14" s="1">
        <f t="shared" si="11"/>
        <v>190.49302592517589</v>
      </c>
      <c r="DJ14" s="1">
        <f t="shared" si="11"/>
        <v>188.58809566592413</v>
      </c>
      <c r="DK14" s="1">
        <f t="shared" si="11"/>
        <v>186.70221470926489</v>
      </c>
      <c r="DL14" s="1">
        <f t="shared" si="11"/>
        <v>184.83519256217224</v>
      </c>
      <c r="DM14" s="1">
        <f t="shared" si="11"/>
        <v>182.98684063655051</v>
      </c>
      <c r="DN14" s="1">
        <f t="shared" si="11"/>
        <v>181.156972230185</v>
      </c>
      <c r="DO14" s="1">
        <f t="shared" si="11"/>
        <v>179.34540250788316</v>
      </c>
      <c r="DP14" s="1">
        <f t="shared" si="11"/>
        <v>177.55194848280433</v>
      </c>
      <c r="DQ14" s="1">
        <f t="shared" si="11"/>
        <v>175.7764289979763</v>
      </c>
      <c r="DR14" s="1">
        <f t="shared" si="11"/>
        <v>174.01866470799652</v>
      </c>
      <c r="DS14" s="1">
        <f t="shared" si="11"/>
        <v>172.27847806091654</v>
      </c>
      <c r="DT14" s="1">
        <f t="shared" si="11"/>
        <v>170.55569328030737</v>
      </c>
      <c r="DU14" s="1">
        <f t="shared" si="11"/>
        <v>168.8501363475043</v>
      </c>
      <c r="DV14" s="1">
        <f t="shared" si="11"/>
        <v>167.16163498402926</v>
      </c>
      <c r="DW14" s="1">
        <f t="shared" si="11"/>
        <v>165.49001863418897</v>
      </c>
      <c r="DX14" s="1">
        <f t="shared" si="11"/>
        <v>163.83511844784707</v>
      </c>
      <c r="DY14" s="1">
        <f t="shared" si="11"/>
        <v>162.1967672633686</v>
      </c>
      <c r="DZ14" s="1">
        <f t="shared" si="11"/>
        <v>160.5747995907349</v>
      </c>
      <c r="EA14" s="1">
        <f t="shared" si="11"/>
        <v>158.96905159482753</v>
      </c>
      <c r="EB14" s="1">
        <f t="shared" si="11"/>
        <v>157.37936107887927</v>
      </c>
      <c r="EC14" s="1">
        <f t="shared" si="11"/>
        <v>155.80556746809049</v>
      </c>
      <c r="ED14" s="1">
        <f t="shared" si="11"/>
        <v>154.24751179340959</v>
      </c>
      <c r="EE14" s="1">
        <f t="shared" si="11"/>
        <v>152.7050366754755</v>
      </c>
      <c r="EF14" s="1">
        <f t="shared" si="11"/>
        <v>151.17798630872073</v>
      </c>
      <c r="EG14" s="1">
        <f t="shared" si="11"/>
        <v>149.66620644563352</v>
      </c>
      <c r="EH14" s="1">
        <f t="shared" si="11"/>
        <v>148.16954438117719</v>
      </c>
    </row>
    <row r="15" spans="2:138" x14ac:dyDescent="0.3">
      <c r="B15" t="s">
        <v>2</v>
      </c>
      <c r="C15" s="5">
        <v>1526.8</v>
      </c>
      <c r="D15" s="5">
        <v>1526.8</v>
      </c>
      <c r="E15" s="5">
        <v>1526.8</v>
      </c>
      <c r="F15" s="5">
        <v>1526.8</v>
      </c>
      <c r="H15" s="5">
        <v>1840.9</v>
      </c>
      <c r="I15" s="5">
        <v>1840.9</v>
      </c>
      <c r="J15" s="5">
        <v>1840.9</v>
      </c>
      <c r="K15" s="5">
        <v>1526.8</v>
      </c>
      <c r="L15" s="5">
        <v>1526.8</v>
      </c>
      <c r="M15" s="5">
        <v>1526.8</v>
      </c>
      <c r="N15" s="5">
        <v>1526.8</v>
      </c>
      <c r="O15" s="5">
        <v>1526.8</v>
      </c>
      <c r="P15" s="5">
        <v>1526.8</v>
      </c>
      <c r="Q15" s="5">
        <v>1526.8</v>
      </c>
      <c r="R15" s="5">
        <v>1526.8</v>
      </c>
      <c r="S15" s="5">
        <v>1526.8</v>
      </c>
      <c r="T15" s="5">
        <v>1526.8</v>
      </c>
      <c r="U15" s="5">
        <v>1526.8</v>
      </c>
    </row>
    <row r="16" spans="2:138" s="1" customFormat="1" x14ac:dyDescent="0.3">
      <c r="B16" s="1" t="s">
        <v>27</v>
      </c>
      <c r="C16" s="7">
        <f>C14/C15</f>
        <v>-8.2656536547026496E-2</v>
      </c>
      <c r="D16" s="7">
        <f>D14/D15</f>
        <v>-6.5627456117369642E-2</v>
      </c>
      <c r="E16" s="7">
        <f>E14/E15</f>
        <v>-7.1194655488603625E-2</v>
      </c>
      <c r="F16" s="7">
        <f t="shared" ref="F16" si="12">F14/F15</f>
        <v>-2.6159863767356545E-2</v>
      </c>
      <c r="H16" s="7">
        <f>H14/H15</f>
        <v>-0.12602531370525286</v>
      </c>
      <c r="I16" s="7">
        <f>I14/I15</f>
        <v>-0.17236134499429628</v>
      </c>
      <c r="J16" s="7">
        <f>J14/J15</f>
        <v>-0.12298332337443643</v>
      </c>
      <c r="K16" s="7">
        <f t="shared" ref="K16:U16" si="13">K14/K15</f>
        <v>-9.7354519255960351E-2</v>
      </c>
      <c r="L16" s="7">
        <f t="shared" si="13"/>
        <v>-3.83352790149332E-2</v>
      </c>
      <c r="M16" s="7">
        <f t="shared" si="13"/>
        <v>4.8578545441446075E-2</v>
      </c>
      <c r="N16" s="7">
        <f t="shared" si="13"/>
        <v>9.7488959540345754E-2</v>
      </c>
      <c r="O16" s="7">
        <f t="shared" si="13"/>
        <v>0.14760317628514533</v>
      </c>
      <c r="P16" s="7">
        <f t="shared" si="13"/>
        <v>0.1970769810808046</v>
      </c>
      <c r="Q16" s="7">
        <f t="shared" si="13"/>
        <v>0.24297137573974711</v>
      </c>
      <c r="R16" s="7">
        <f t="shared" si="13"/>
        <v>0.26703669108537254</v>
      </c>
      <c r="S16" s="7">
        <f t="shared" si="13"/>
        <v>0.28393871964383011</v>
      </c>
      <c r="T16" s="7">
        <f t="shared" si="13"/>
        <v>0.29881213784434568</v>
      </c>
      <c r="U16" s="7">
        <f t="shared" si="13"/>
        <v>0.31452779204325526</v>
      </c>
    </row>
    <row r="18" spans="2:24" x14ac:dyDescent="0.3">
      <c r="B18" s="1" t="s">
        <v>28</v>
      </c>
      <c r="C18" s="10"/>
      <c r="D18" s="10"/>
      <c r="E18" s="10">
        <f>E3/C3-1</f>
        <v>0.81809223492313765</v>
      </c>
      <c r="F18" s="10">
        <f>F3/D3-1</f>
        <v>0.7</v>
      </c>
      <c r="H18" s="10"/>
      <c r="I18" s="10">
        <f>I3/H3-1</f>
        <v>0.62074758504829908</v>
      </c>
      <c r="J18" s="10">
        <f t="shared" ref="J18:U18" si="14">J3/I3-1</f>
        <v>0.54288675822752008</v>
      </c>
      <c r="K18" s="10">
        <f t="shared" si="14"/>
        <v>0.75031911320120903</v>
      </c>
      <c r="L18" s="10">
        <f t="shared" si="14"/>
        <v>0.35000000000000009</v>
      </c>
      <c r="M18" s="10">
        <f t="shared" si="14"/>
        <v>0.25</v>
      </c>
      <c r="N18" s="10">
        <f t="shared" si="14"/>
        <v>0.17999999999999994</v>
      </c>
      <c r="O18" s="10">
        <f t="shared" si="14"/>
        <v>0.12000000000000011</v>
      </c>
      <c r="P18" s="10">
        <f t="shared" si="14"/>
        <v>0.10000000000000009</v>
      </c>
      <c r="Q18" s="10">
        <f t="shared" si="14"/>
        <v>8.0000000000000071E-2</v>
      </c>
      <c r="R18" s="10">
        <f t="shared" si="14"/>
        <v>5.0000000000000044E-2</v>
      </c>
      <c r="S18" s="10">
        <f t="shared" si="14"/>
        <v>4.0000000000000036E-2</v>
      </c>
      <c r="T18" s="10">
        <f t="shared" si="14"/>
        <v>3.0000000000000027E-2</v>
      </c>
      <c r="U18" s="10">
        <f t="shared" si="14"/>
        <v>3.0000000000000027E-2</v>
      </c>
    </row>
    <row r="19" spans="2:24" x14ac:dyDescent="0.3">
      <c r="B19" s="1" t="s">
        <v>29</v>
      </c>
      <c r="C19" s="10">
        <f t="shared" ref="C19:E19" si="15">C5/C3</f>
        <v>0.29680725266062274</v>
      </c>
      <c r="D19" s="10">
        <f t="shared" ref="D19" si="16">D5/D3</f>
        <v>0.30099502487562191</v>
      </c>
      <c r="E19" s="10">
        <f t="shared" si="15"/>
        <v>0.28607046070460701</v>
      </c>
      <c r="F19" s="10">
        <f t="shared" ref="F19" si="17">F5/F3</f>
        <v>0.3</v>
      </c>
      <c r="H19" s="10">
        <f>H5/H3</f>
        <v>0.1917261654766905</v>
      </c>
      <c r="I19" s="10">
        <f>I5/I3</f>
        <v>0.24436382482508412</v>
      </c>
      <c r="J19" s="10">
        <f t="shared" ref="J19:U19" si="18">J5/J3</f>
        <v>0.29921061471279808</v>
      </c>
      <c r="K19" s="10">
        <f t="shared" si="18"/>
        <v>0.29383480146621366</v>
      </c>
      <c r="L19" s="10">
        <f t="shared" si="18"/>
        <v>0.3</v>
      </c>
      <c r="M19" s="10">
        <f t="shared" si="18"/>
        <v>0.31</v>
      </c>
      <c r="N19" s="10">
        <f t="shared" si="18"/>
        <v>0.31</v>
      </c>
      <c r="O19" s="10">
        <f t="shared" si="18"/>
        <v>0.31</v>
      </c>
      <c r="P19" s="10">
        <f t="shared" si="18"/>
        <v>0.31</v>
      </c>
      <c r="Q19" s="10">
        <f t="shared" si="18"/>
        <v>0.31</v>
      </c>
      <c r="R19" s="10">
        <f t="shared" si="18"/>
        <v>0.31</v>
      </c>
      <c r="S19" s="10">
        <f t="shared" si="18"/>
        <v>0.31</v>
      </c>
      <c r="T19" s="10">
        <f t="shared" si="18"/>
        <v>0.31</v>
      </c>
      <c r="U19" s="10">
        <f t="shared" si="18"/>
        <v>0.31</v>
      </c>
    </row>
    <row r="20" spans="2:24" x14ac:dyDescent="0.3">
      <c r="B20" s="9" t="s">
        <v>30</v>
      </c>
      <c r="C20" s="10">
        <f t="shared" ref="C20:E20" si="19">C9/C3</f>
        <v>-0.25049270792274353</v>
      </c>
      <c r="D20" s="10">
        <f t="shared" ref="D20" si="20">D9/D3</f>
        <v>-0.13754755633596719</v>
      </c>
      <c r="E20" s="10">
        <f t="shared" si="19"/>
        <v>-0.1162059620596206</v>
      </c>
      <c r="F20" s="10">
        <f t="shared" ref="F20" si="21">F9/F3</f>
        <v>-3.4219903940505066E-2</v>
      </c>
      <c r="H20" s="10">
        <f>H9/H3</f>
        <v>-0.53989920201595976</v>
      </c>
      <c r="I20" s="10">
        <f>I9/I3</f>
        <v>-0.41448561803576073</v>
      </c>
      <c r="J20" s="10">
        <f t="shared" ref="J20:U20" si="22">J9/J3</f>
        <v>-0.18567349680886802</v>
      </c>
      <c r="K20" s="10">
        <f t="shared" si="22"/>
        <v>-7.0506841691135691E-2</v>
      </c>
      <c r="L20" s="10">
        <f t="shared" si="22"/>
        <v>-2.0642993157242686E-2</v>
      </c>
      <c r="M20" s="10">
        <f t="shared" si="22"/>
        <v>2.2191200869436E-2</v>
      </c>
      <c r="N20" s="10">
        <f t="shared" si="22"/>
        <v>4.6125581198502234E-2</v>
      </c>
      <c r="O20" s="10">
        <f t="shared" si="22"/>
        <v>6.2149316972966322E-2</v>
      </c>
      <c r="P20" s="10">
        <f t="shared" si="22"/>
        <v>7.5259646242982411E-2</v>
      </c>
      <c r="Q20" s="10">
        <f t="shared" si="22"/>
        <v>8.571088596821072E-2</v>
      </c>
      <c r="R20" s="10">
        <f t="shared" si="22"/>
        <v>8.962286712670961E-2</v>
      </c>
      <c r="S20" s="10">
        <f t="shared" si="22"/>
        <v>9.1592259620693062E-2</v>
      </c>
      <c r="T20" s="10">
        <f t="shared" si="22"/>
        <v>9.3560199508860742E-2</v>
      </c>
      <c r="U20" s="10">
        <f t="shared" si="22"/>
        <v>9.5584554583975259E-2</v>
      </c>
      <c r="W20" t="s">
        <v>32</v>
      </c>
      <c r="X20" s="10">
        <v>-0.01</v>
      </c>
    </row>
    <row r="21" spans="2:24" x14ac:dyDescent="0.3">
      <c r="B21" s="9" t="s">
        <v>31</v>
      </c>
      <c r="C21" s="10"/>
      <c r="D21" s="10"/>
      <c r="E21" s="10">
        <f t="shared" ref="E21:F21" si="23">E6/C6-1</f>
        <v>0.32148040638606656</v>
      </c>
      <c r="F21" s="10">
        <f t="shared" si="23"/>
        <v>0.30000000000000004</v>
      </c>
      <c r="H21" s="10"/>
      <c r="I21" s="10">
        <f>I6/H6-1</f>
        <v>0.44935064935064939</v>
      </c>
      <c r="J21" s="10">
        <f t="shared" ref="J21:U21" si="24">J6/I6-1</f>
        <v>0.132815611310235</v>
      </c>
      <c r="K21" s="10">
        <f t="shared" si="24"/>
        <v>0.31040604675689942</v>
      </c>
      <c r="L21" s="10">
        <f t="shared" si="24"/>
        <v>0.17999999999999994</v>
      </c>
      <c r="M21" s="10">
        <f t="shared" si="24"/>
        <v>0.12000000000000011</v>
      </c>
      <c r="N21" s="10">
        <f t="shared" si="24"/>
        <v>8.0000000000000071E-2</v>
      </c>
      <c r="O21" s="10">
        <f t="shared" si="24"/>
        <v>5.0000000000000044E-2</v>
      </c>
      <c r="P21" s="10">
        <f t="shared" si="24"/>
        <v>4.0000000000000036E-2</v>
      </c>
      <c r="Q21" s="10">
        <f t="shared" si="24"/>
        <v>3.0000000000000027E-2</v>
      </c>
      <c r="R21" s="10">
        <f t="shared" si="24"/>
        <v>3.0000000000000027E-2</v>
      </c>
      <c r="S21" s="10">
        <f t="shared" si="24"/>
        <v>3.0000000000000027E-2</v>
      </c>
      <c r="T21" s="10">
        <f t="shared" si="24"/>
        <v>2.0000000000000018E-2</v>
      </c>
      <c r="U21" s="10">
        <f t="shared" si="24"/>
        <v>2.0000000000000018E-2</v>
      </c>
      <c r="W21" t="s">
        <v>33</v>
      </c>
      <c r="X21" s="10">
        <v>7.0000000000000007E-2</v>
      </c>
    </row>
    <row r="22" spans="2:24" x14ac:dyDescent="0.3">
      <c r="B22" s="9" t="s">
        <v>25</v>
      </c>
      <c r="C22" s="10">
        <f t="shared" ref="C22:E22" si="25">C13/C12</f>
        <v>1.7133956386292826E-2</v>
      </c>
      <c r="D22" s="10">
        <f t="shared" ref="D22" si="26">D13/D12</f>
        <v>-3.1925849639546866E-2</v>
      </c>
      <c r="E22" s="10">
        <f t="shared" si="25"/>
        <v>-3.7213740458015267E-2</v>
      </c>
      <c r="F22" s="10">
        <f t="shared" ref="F22" si="27">F13/F12</f>
        <v>0.02</v>
      </c>
      <c r="H22" s="10">
        <f>H13/H12</f>
        <v>4.6444718454582819E-2</v>
      </c>
      <c r="I22" s="10">
        <f>I13/I12</f>
        <v>1.2590494176896443E-3</v>
      </c>
      <c r="J22" s="10">
        <f t="shared" ref="J22:U22" si="28">J13/J12</f>
        <v>-3.9911308203991131E-3</v>
      </c>
      <c r="K22" s="10">
        <f t="shared" si="28"/>
        <v>-2.1193767347275239E-2</v>
      </c>
      <c r="L22" s="10">
        <f t="shared" si="28"/>
        <v>0.02</v>
      </c>
      <c r="M22" s="10">
        <f t="shared" si="28"/>
        <v>0.02</v>
      </c>
      <c r="N22" s="10">
        <f t="shared" si="28"/>
        <v>0.20999999999999996</v>
      </c>
      <c r="O22" s="10">
        <f t="shared" si="28"/>
        <v>0.21</v>
      </c>
      <c r="P22" s="10">
        <f t="shared" si="28"/>
        <v>0.21</v>
      </c>
      <c r="Q22" s="10">
        <f t="shared" si="28"/>
        <v>0.21</v>
      </c>
      <c r="R22" s="10">
        <f t="shared" si="28"/>
        <v>0.21</v>
      </c>
      <c r="S22" s="10">
        <f t="shared" si="28"/>
        <v>0.21</v>
      </c>
      <c r="T22" s="10">
        <f t="shared" si="28"/>
        <v>0.21</v>
      </c>
      <c r="U22" s="10">
        <f t="shared" si="28"/>
        <v>0.21</v>
      </c>
      <c r="W22" t="s">
        <v>34</v>
      </c>
      <c r="X22" s="5">
        <f>NPV(X21,K14:EH14)</f>
        <v>4332.460878151277</v>
      </c>
    </row>
    <row r="23" spans="2:24" x14ac:dyDescent="0.3">
      <c r="B23" s="9" t="s">
        <v>42</v>
      </c>
      <c r="C23" s="10">
        <f>C14/C3</f>
        <v>-0.2487189594008673</v>
      </c>
      <c r="D23" s="10">
        <f t="shared" ref="D23:U23" si="29">D14/D3</f>
        <v>-0.14661984196663738</v>
      </c>
      <c r="E23" s="10">
        <f t="shared" si="29"/>
        <v>-0.1178319783197832</v>
      </c>
      <c r="F23" s="10">
        <f t="shared" si="29"/>
        <v>-3.4379039060751584E-2</v>
      </c>
      <c r="G23" s="10"/>
      <c r="H23" s="10">
        <f t="shared" si="29"/>
        <v>-0.4871902561948761</v>
      </c>
      <c r="I23" s="10">
        <f t="shared" si="29"/>
        <v>-0.41111686965535121</v>
      </c>
      <c r="J23" s="10">
        <f t="shared" si="29"/>
        <v>-0.19012428619415522</v>
      </c>
      <c r="K23" s="10">
        <f t="shared" si="29"/>
        <v>-7.1315216765501899E-2</v>
      </c>
      <c r="L23" s="10">
        <f t="shared" si="29"/>
        <v>-2.080132263455042E-2</v>
      </c>
      <c r="M23" s="10">
        <f t="shared" si="29"/>
        <v>2.10875835065879E-2</v>
      </c>
      <c r="N23" s="10">
        <f t="shared" si="29"/>
        <v>3.5863753150029244E-2</v>
      </c>
      <c r="O23" s="10">
        <f t="shared" si="29"/>
        <v>4.8481715843679225E-2</v>
      </c>
      <c r="P23" s="10">
        <f t="shared" si="29"/>
        <v>5.88471581005185E-2</v>
      </c>
      <c r="Q23" s="10">
        <f t="shared" si="29"/>
        <v>6.7177053444743284E-2</v>
      </c>
      <c r="R23" s="10">
        <f t="shared" si="29"/>
        <v>7.0314918349590819E-2</v>
      </c>
      <c r="S23" s="10">
        <f t="shared" si="29"/>
        <v>7.1889890021706204E-2</v>
      </c>
      <c r="T23" s="10">
        <f t="shared" si="29"/>
        <v>7.3452098771633723E-2</v>
      </c>
      <c r="U23" s="10">
        <f t="shared" si="29"/>
        <v>7.5063321270415373E-2</v>
      </c>
      <c r="W23" t="s">
        <v>35</v>
      </c>
      <c r="X23" s="5">
        <f>Main!D8</f>
        <v>1626.7</v>
      </c>
    </row>
    <row r="24" spans="2:24" x14ac:dyDescent="0.3">
      <c r="W24" t="s">
        <v>36</v>
      </c>
      <c r="X24" s="5">
        <f>X22+X23</f>
        <v>5959.1608781512768</v>
      </c>
    </row>
    <row r="25" spans="2:24" x14ac:dyDescent="0.3">
      <c r="W25" t="s">
        <v>37</v>
      </c>
      <c r="X25" s="4">
        <f>X24/U15</f>
        <v>3.9030396110500898</v>
      </c>
    </row>
    <row r="26" spans="2:24" x14ac:dyDescent="0.3">
      <c r="W26" t="s">
        <v>38</v>
      </c>
      <c r="X26" s="4">
        <f>Main!D3</f>
        <v>3.6</v>
      </c>
    </row>
    <row r="27" spans="2:24" x14ac:dyDescent="0.3">
      <c r="W27" s="1" t="s">
        <v>39</v>
      </c>
      <c r="X27" s="12">
        <f>X25/X26-1</f>
        <v>8.4177669736136052E-2</v>
      </c>
    </row>
    <row r="28" spans="2:24" x14ac:dyDescent="0.3">
      <c r="W28" t="s">
        <v>40</v>
      </c>
      <c r="X28" s="6" t="s">
        <v>43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2021-04-16T18:27:30Z</dcterms:created>
  <dcterms:modified xsi:type="dcterms:W3CDTF">2021-08-12T11:37:57Z</dcterms:modified>
</cp:coreProperties>
</file>