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7262E37C-328E-4ED5-8C01-70C5245A89D6}" xr6:coauthVersionLast="47" xr6:coauthVersionMax="47" xr10:uidLastSave="{00000000-0000-0000-0000-000000000000}"/>
  <bookViews>
    <workbookView xWindow="-108" yWindow="-108" windowWidth="23256" windowHeight="12576" xr2:uid="{82D3757C-C997-4539-A1B6-37CCDAE2E8B9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S3" i="2"/>
  <c r="Q7" i="2"/>
  <c r="R7" i="2" s="1"/>
  <c r="AD25" i="2"/>
  <c r="AD22" i="2"/>
  <c r="I17" i="2"/>
  <c r="H3" i="2"/>
  <c r="J17" i="2" s="1"/>
  <c r="P18" i="2"/>
  <c r="P17" i="2"/>
  <c r="P21" i="2"/>
  <c r="O21" i="2"/>
  <c r="O17" i="2"/>
  <c r="N10" i="2"/>
  <c r="N5" i="2"/>
  <c r="N9" i="2" s="1"/>
  <c r="N11" i="2" s="1"/>
  <c r="N13" i="2" s="1"/>
  <c r="N15" i="2" s="1"/>
  <c r="O10" i="2"/>
  <c r="O5" i="2"/>
  <c r="O9" i="2" s="1"/>
  <c r="O19" i="2" s="1"/>
  <c r="P8" i="2"/>
  <c r="P9" i="2" s="1"/>
  <c r="P19" i="2" s="1"/>
  <c r="P5" i="2"/>
  <c r="P10" i="2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G10" i="2"/>
  <c r="G9" i="2"/>
  <c r="G4" i="2"/>
  <c r="I10" i="2"/>
  <c r="I9" i="2"/>
  <c r="I4" i="2"/>
  <c r="D8" i="1"/>
  <c r="D6" i="1"/>
  <c r="D5" i="1"/>
  <c r="D9" i="1" s="1"/>
  <c r="F3" i="1"/>
  <c r="H17" i="2" l="1"/>
  <c r="O18" i="2"/>
  <c r="N18" i="2"/>
  <c r="N19" i="2"/>
  <c r="N22" i="2"/>
  <c r="I11" i="2"/>
  <c r="I13" i="2" s="1"/>
  <c r="I15" i="2" s="1"/>
  <c r="Q21" i="2"/>
  <c r="S7" i="2"/>
  <c r="S21" i="2" s="1"/>
  <c r="R21" i="2"/>
  <c r="Q3" i="2"/>
  <c r="R3" i="2" s="1"/>
  <c r="P11" i="2"/>
  <c r="O11" i="2"/>
  <c r="G11" i="2"/>
  <c r="G13" i="2" s="1"/>
  <c r="G15" i="2" s="1"/>
  <c r="O13" i="2" l="1"/>
  <c r="O15" i="2" s="1"/>
  <c r="O22" i="2"/>
  <c r="R5" i="2"/>
  <c r="R4" i="2" s="1"/>
  <c r="T7" i="2"/>
  <c r="P13" i="2"/>
  <c r="P15" i="2" s="1"/>
  <c r="P22" i="2"/>
  <c r="Q5" i="2"/>
  <c r="Q17" i="2"/>
  <c r="R9" i="2" l="1"/>
  <c r="R11" i="2" s="1"/>
  <c r="R12" i="2"/>
  <c r="R13" i="2" s="1"/>
  <c r="Q4" i="2"/>
  <c r="Q9" i="2"/>
  <c r="Q18" i="2"/>
  <c r="U7" i="2"/>
  <c r="T21" i="2"/>
  <c r="S5" i="2"/>
  <c r="R18" i="2"/>
  <c r="R19" i="2"/>
  <c r="R17" i="2"/>
  <c r="R15" i="2" l="1"/>
  <c r="R22" i="2"/>
  <c r="Q11" i="2"/>
  <c r="Q19" i="2"/>
  <c r="S9" i="2"/>
  <c r="S11" i="2" s="1"/>
  <c r="S4" i="2"/>
  <c r="V7" i="2"/>
  <c r="U21" i="2"/>
  <c r="T5" i="2"/>
  <c r="S17" i="2"/>
  <c r="S18" i="2"/>
  <c r="Q12" i="2" l="1"/>
  <c r="Q13" i="2" s="1"/>
  <c r="S12" i="2"/>
  <c r="S22" i="2" s="1"/>
  <c r="S19" i="2"/>
  <c r="T9" i="2"/>
  <c r="T11" i="2" s="1"/>
  <c r="W7" i="2"/>
  <c r="V21" i="2"/>
  <c r="U3" i="2"/>
  <c r="U5" i="2" s="1"/>
  <c r="T17" i="2"/>
  <c r="Q15" i="2" l="1"/>
  <c r="Q22" i="2"/>
  <c r="S13" i="2"/>
  <c r="T12" i="2"/>
  <c r="T13" i="2" s="1"/>
  <c r="T19" i="2"/>
  <c r="U4" i="2"/>
  <c r="U9" i="2"/>
  <c r="U11" i="2" s="1"/>
  <c r="T4" i="2"/>
  <c r="T18" i="2"/>
  <c r="X7" i="2"/>
  <c r="W21" i="2"/>
  <c r="U18" i="2"/>
  <c r="V3" i="2"/>
  <c r="V5" i="2" s="1"/>
  <c r="U17" i="2"/>
  <c r="S15" i="2" l="1"/>
  <c r="T15" i="2"/>
  <c r="U12" i="2"/>
  <c r="U22" i="2" s="1"/>
  <c r="T22" i="2"/>
  <c r="U19" i="2"/>
  <c r="V9" i="2"/>
  <c r="V11" i="2" s="1"/>
  <c r="Y7" i="2"/>
  <c r="X21" i="2"/>
  <c r="W3" i="2"/>
  <c r="W5" i="2" s="1"/>
  <c r="V17" i="2"/>
  <c r="U13" i="2" l="1"/>
  <c r="V12" i="2"/>
  <c r="V13" i="2" s="1"/>
  <c r="V18" i="2"/>
  <c r="V4" i="2"/>
  <c r="V19" i="2"/>
  <c r="W9" i="2"/>
  <c r="W11" i="2" s="1"/>
  <c r="Z7" i="2"/>
  <c r="Y21" i="2"/>
  <c r="W17" i="2"/>
  <c r="X3" i="2"/>
  <c r="X5" i="2" s="1"/>
  <c r="U15" i="2" l="1"/>
  <c r="V15" i="2"/>
  <c r="W12" i="2"/>
  <c r="W22" i="2" s="1"/>
  <c r="V22" i="2"/>
  <c r="X9" i="2"/>
  <c r="X11" i="2" s="1"/>
  <c r="W19" i="2"/>
  <c r="W18" i="2"/>
  <c r="W4" i="2"/>
  <c r="AA7" i="2"/>
  <c r="Z21" i="2"/>
  <c r="Y3" i="2"/>
  <c r="Y5" i="2" s="1"/>
  <c r="X17" i="2"/>
  <c r="W13" i="2" l="1"/>
  <c r="X12" i="2"/>
  <c r="X22" i="2" s="1"/>
  <c r="Y4" i="2"/>
  <c r="Y9" i="2"/>
  <c r="Y11" i="2" s="1"/>
  <c r="X19" i="2"/>
  <c r="X18" i="2"/>
  <c r="X4" i="2"/>
  <c r="AA21" i="2"/>
  <c r="Y18" i="2"/>
  <c r="Y17" i="2"/>
  <c r="Z3" i="2"/>
  <c r="Z5" i="2" s="1"/>
  <c r="X13" i="2" l="1"/>
  <c r="X15" i="2" s="1"/>
  <c r="Y12" i="2"/>
  <c r="Y22" i="2" s="1"/>
  <c r="W15" i="2"/>
  <c r="Z4" i="2"/>
  <c r="Z9" i="2"/>
  <c r="Z11" i="2" s="1"/>
  <c r="Y19" i="2"/>
  <c r="AA3" i="2"/>
  <c r="AA5" i="2" s="1"/>
  <c r="Z17" i="2"/>
  <c r="Z18" i="2"/>
  <c r="Y13" i="2" l="1"/>
  <c r="Y15" i="2" s="1"/>
  <c r="Z12" i="2"/>
  <c r="Z22" i="2" s="1"/>
  <c r="Z19" i="2"/>
  <c r="AA9" i="2"/>
  <c r="AA11" i="2" s="1"/>
  <c r="AA17" i="2"/>
  <c r="AA18" i="2"/>
  <c r="AA12" i="2" l="1"/>
  <c r="AA22" i="2" s="1"/>
  <c r="Z13" i="2"/>
  <c r="AA19" i="2"/>
  <c r="AA4" i="2"/>
  <c r="Z15" i="2" l="1"/>
  <c r="AA13" i="2"/>
  <c r="AA15" i="2" l="1"/>
  <c r="AB13" i="2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AD21" i="2" s="1"/>
  <c r="AD23" i="2" s="1"/>
  <c r="AD24" i="2" s="1"/>
  <c r="AD26" i="2" s="1"/>
</calcChain>
</file>

<file path=xl/sharedStrings.xml><?xml version="1.0" encoding="utf-8"?>
<sst xmlns="http://schemas.openxmlformats.org/spreadsheetml/2006/main" count="53" uniqueCount="46">
  <si>
    <t>SDRY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</si>
  <si>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</si>
  <si>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</si>
  <si>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</si>
  <si>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</si>
  <si>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</si>
  <si>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</si>
  <si>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</si>
  <si>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</si>
  <si>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</si>
  <si>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</si>
  <si>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H121</t>
  </si>
  <si>
    <t>Revenue</t>
  </si>
  <si>
    <t>H118</t>
  </si>
  <si>
    <t>H218</t>
  </si>
  <si>
    <t>Cost of sales</t>
  </si>
  <si>
    <t>Gross profit</t>
  </si>
  <si>
    <t>H119</t>
  </si>
  <si>
    <t>H219</t>
  </si>
  <si>
    <t>H120</t>
  </si>
  <si>
    <t>H220</t>
  </si>
  <si>
    <t>H221</t>
  </si>
  <si>
    <t>S&amp;D</t>
  </si>
  <si>
    <t>G&amp;A</t>
  </si>
  <si>
    <t>Other operating income</t>
  </si>
  <si>
    <t>Operating profit</t>
  </si>
  <si>
    <t>Net finance expense</t>
  </si>
  <si>
    <t>Pretax profit</t>
  </si>
  <si>
    <t>Taxes</t>
  </si>
  <si>
    <t>Net profit</t>
  </si>
  <si>
    <t>EPS</t>
  </si>
  <si>
    <t>Revenue y/y</t>
  </si>
  <si>
    <t>Gross Margin</t>
  </si>
  <si>
    <t>Operating Margin</t>
  </si>
  <si>
    <t>G&amp;A y/y</t>
  </si>
  <si>
    <t>S&amp;D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</si>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</sst>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7620</xdr:rowOff>
    </xdr:from>
    <xdr:to>
      <xdr:col>10</xdr:col>
      <xdr:colOff>45720</xdr:colOff>
      <xdr:row>32</xdr:row>
      <xdr:rowOff>121920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8C24D95-5131-4160-AED5-5DB2792BA50F}"/>
            </a:ext>
          </a:extLst>
        </xdr:cNvPr>
        <xdr:cNvCxnSpPr/>
      </xdr:nvCxnSpPr>
      <xdr:spPr>
        <a:xfrm>
          <a:off x="7833360" y="7620"/>
          <a:ext cx="22860" cy="5966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1F22-01CF-4ACA-A303-0007673746B4}">
  <dimension ref="B2:G9"/>
  <sheetViews>
    <sheetView tabSelected="1" workbookViewId="0">
      <selection activeCell="E4" sqref="E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6">
        <v>3.8</v>
      </c>
      <c r="E3" s="4">
        <v>44420</v>
      </c>
      <c r="F3" s="4">
        <f ca="1">TODAY()</f>
        <v>44420</v>
      </c>
      <c r="G3" s="4">
        <v>44468</v>
      </c>
    </row>
    <row r="4" spans="2:7" x14ac:dyDescent="0.3">
      <c r="C4" t="s">
        <v>2</v>
      </c>
      <c r="D4" s="8">
        <v>82.1</v>
      </c>
      <c r="E4" s="3" t="s">
        <v>11</v>
      </c>
    </row>
    <row r="5" spans="2:7" x14ac:dyDescent="0.3">
      <c r="C5" t="s">
        <v>3</v>
      </c>
      <c r="D5" s="8">
        <f>D3*D4</f>
        <v>311.97999999999996</v>
      </c>
    </row>
    <row r="6" spans="2:7" x14ac:dyDescent="0.3">
      <c r="C6" t="s">
        <v>4</v>
      </c>
      <c r="D6" s="8">
        <f>34.1+0.2</f>
        <v>34.300000000000004</v>
      </c>
      <c r="E6" s="3" t="s">
        <v>11</v>
      </c>
    </row>
    <row r="7" spans="2:7" x14ac:dyDescent="0.3">
      <c r="C7" t="s">
        <v>5</v>
      </c>
      <c r="D7" s="8">
        <v>7.3</v>
      </c>
      <c r="E7" s="3" t="s">
        <v>11</v>
      </c>
    </row>
    <row r="8" spans="2:7" x14ac:dyDescent="0.3">
      <c r="C8" t="s">
        <v>6</v>
      </c>
      <c r="D8" s="8">
        <f>D6-D7</f>
        <v>27.000000000000004</v>
      </c>
    </row>
    <row r="9" spans="2:7" x14ac:dyDescent="0.3">
      <c r="C9" t="s">
        <v>7</v>
      </c>
      <c r="D9" s="8">
        <f>D5-D8</f>
        <v>284.97999999999996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7541-0448-4921-B55B-34D196249279}">
  <dimension ref="B1:EP27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RowHeight="14.4" x14ac:dyDescent="0.3"/>
  <cols>
    <col min="2" max="2" width="20.5546875" bestFit="1" customWidth="1"/>
    <col min="3" max="12" width="10.5546875" customWidth="1"/>
    <col min="29" max="29" width="12" bestFit="1" customWidth="1"/>
    <col min="30" max="30" width="16.21875" bestFit="1" customWidth="1"/>
  </cols>
  <sheetData>
    <row r="1" spans="2:146" x14ac:dyDescent="0.3">
      <c r="C1" s="2">
        <v>43039</v>
      </c>
      <c r="D1" s="2">
        <v>43220</v>
      </c>
      <c r="E1" s="2">
        <v>43404</v>
      </c>
      <c r="F1" s="2">
        <v>43585</v>
      </c>
      <c r="G1" s="2">
        <v>43769</v>
      </c>
      <c r="H1" s="2">
        <v>43951</v>
      </c>
      <c r="I1" s="2">
        <v>44135</v>
      </c>
      <c r="J1" s="2">
        <v>44316</v>
      </c>
      <c r="K1" s="2">
        <v>44500</v>
      </c>
      <c r="L1" s="2">
        <v>44681</v>
      </c>
    </row>
    <row r="2" spans="2:146" x14ac:dyDescent="0.3">
      <c r="C2" s="9" t="s">
        <v>13</v>
      </c>
      <c r="D2" s="9" t="s">
        <v>14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11</v>
      </c>
      <c r="J2" s="9" t="s">
        <v>21</v>
      </c>
      <c r="K2" s="9" t="s">
        <v>11</v>
      </c>
      <c r="L2" s="9" t="s">
        <v>21</v>
      </c>
      <c r="N2">
        <v>2018</v>
      </c>
      <c r="O2">
        <v>2019</v>
      </c>
      <c r="P2">
        <v>2020</v>
      </c>
      <c r="Q2">
        <v>2021</v>
      </c>
      <c r="R2">
        <v>2022</v>
      </c>
      <c r="S2">
        <v>2023</v>
      </c>
      <c r="T2">
        <v>2024</v>
      </c>
      <c r="U2">
        <v>2025</v>
      </c>
      <c r="V2">
        <v>2026</v>
      </c>
      <c r="W2">
        <v>2027</v>
      </c>
      <c r="X2">
        <v>2028</v>
      </c>
      <c r="Y2">
        <v>2029</v>
      </c>
      <c r="Z2">
        <v>2030</v>
      </c>
      <c r="AA2">
        <v>2031</v>
      </c>
    </row>
    <row r="3" spans="2:146" s="1" customFormat="1" x14ac:dyDescent="0.3">
      <c r="B3" s="1" t="s">
        <v>12</v>
      </c>
      <c r="F3" s="11">
        <v>414.6</v>
      </c>
      <c r="G3" s="11">
        <v>369.1</v>
      </c>
      <c r="H3" s="11">
        <f>P3-G3</f>
        <v>335.29999999999995</v>
      </c>
      <c r="I3" s="11">
        <v>282.7</v>
      </c>
      <c r="J3" s="11">
        <v>274.10000000000002</v>
      </c>
      <c r="K3" s="11"/>
      <c r="L3" s="11"/>
      <c r="N3" s="11">
        <v>872</v>
      </c>
      <c r="O3" s="11">
        <v>871.7</v>
      </c>
      <c r="P3" s="11">
        <v>704.4</v>
      </c>
      <c r="Q3" s="11">
        <f>SUM(I3:J3)</f>
        <v>556.79999999999995</v>
      </c>
      <c r="R3" s="11">
        <f>Q3*1.4</f>
        <v>779.51999999999987</v>
      </c>
      <c r="S3" s="11">
        <f>R3*1.05</f>
        <v>818.49599999999987</v>
      </c>
      <c r="T3" s="11">
        <f>S3*1.03</f>
        <v>843.05087999999989</v>
      </c>
      <c r="U3" s="11">
        <f>T3*1.02</f>
        <v>859.91189759999986</v>
      </c>
      <c r="V3" s="11">
        <f>U3*1.01</f>
        <v>868.51101657599986</v>
      </c>
      <c r="W3" s="11">
        <f t="shared" ref="W3:AA3" si="0">V3*1.01</f>
        <v>877.19612674175983</v>
      </c>
      <c r="X3" s="11">
        <f t="shared" si="0"/>
        <v>885.96808800917745</v>
      </c>
      <c r="Y3" s="11">
        <f t="shared" si="0"/>
        <v>894.82776888926924</v>
      </c>
      <c r="Z3" s="11">
        <f t="shared" si="0"/>
        <v>903.77604657816198</v>
      </c>
      <c r="AA3" s="11">
        <f t="shared" si="0"/>
        <v>912.8138070439436</v>
      </c>
    </row>
    <row r="4" spans="2:146" x14ac:dyDescent="0.3">
      <c r="B4" t="s">
        <v>15</v>
      </c>
      <c r="G4" s="8">
        <f>G3-G5</f>
        <v>161.30000000000001</v>
      </c>
      <c r="I4" s="8">
        <f>I3-I5</f>
        <v>136.5</v>
      </c>
      <c r="N4" s="8">
        <v>365.5</v>
      </c>
      <c r="O4" s="8">
        <v>391.3</v>
      </c>
      <c r="P4" s="8">
        <v>326.5</v>
      </c>
      <c r="Q4" s="8">
        <f>Q3-Q5</f>
        <v>250.55999999999995</v>
      </c>
      <c r="R4" s="8">
        <f t="shared" ref="R4:AA4" si="1">R3-R5</f>
        <v>342.98879999999991</v>
      </c>
      <c r="S4" s="8">
        <f t="shared" si="1"/>
        <v>360.13823999999988</v>
      </c>
      <c r="T4" s="8">
        <f t="shared" si="1"/>
        <v>370.94238719999993</v>
      </c>
      <c r="U4" s="8">
        <f t="shared" si="1"/>
        <v>378.36123494399988</v>
      </c>
      <c r="V4" s="8">
        <f t="shared" si="1"/>
        <v>382.14484729343991</v>
      </c>
      <c r="W4" s="8">
        <f t="shared" si="1"/>
        <v>385.96629576637429</v>
      </c>
      <c r="X4" s="8">
        <f t="shared" si="1"/>
        <v>389.825958724038</v>
      </c>
      <c r="Y4" s="8">
        <f t="shared" si="1"/>
        <v>393.72421831127843</v>
      </c>
      <c r="Z4" s="8">
        <f t="shared" si="1"/>
        <v>397.66146049439124</v>
      </c>
      <c r="AA4" s="8">
        <f t="shared" si="1"/>
        <v>401.63807509933514</v>
      </c>
    </row>
    <row r="5" spans="2:146" s="1" customFormat="1" x14ac:dyDescent="0.3">
      <c r="B5" s="1" t="s">
        <v>16</v>
      </c>
      <c r="G5" s="11">
        <v>207.8</v>
      </c>
      <c r="I5" s="11">
        <v>146.19999999999999</v>
      </c>
      <c r="N5" s="11">
        <f>N3-N4</f>
        <v>506.5</v>
      </c>
      <c r="O5" s="11">
        <f>O3-O4</f>
        <v>480.40000000000003</v>
      </c>
      <c r="P5" s="11">
        <f>P3-P4</f>
        <v>377.9</v>
      </c>
      <c r="Q5" s="11">
        <f>Q3*0.55</f>
        <v>306.24</v>
      </c>
      <c r="R5" s="11">
        <f>R3*0.56</f>
        <v>436.53119999999996</v>
      </c>
      <c r="S5" s="11">
        <f t="shared" ref="S5:AA5" si="2">S3*0.56</f>
        <v>458.35775999999998</v>
      </c>
      <c r="T5" s="11">
        <f t="shared" si="2"/>
        <v>472.10849279999996</v>
      </c>
      <c r="U5" s="11">
        <f t="shared" si="2"/>
        <v>481.55066265599999</v>
      </c>
      <c r="V5" s="11">
        <f t="shared" si="2"/>
        <v>486.36616928255995</v>
      </c>
      <c r="W5" s="11">
        <f t="shared" si="2"/>
        <v>491.22983097538554</v>
      </c>
      <c r="X5" s="11">
        <f t="shared" si="2"/>
        <v>496.14212928513945</v>
      </c>
      <c r="Y5" s="11">
        <f t="shared" si="2"/>
        <v>501.1035505779908</v>
      </c>
      <c r="Z5" s="11">
        <f t="shared" si="2"/>
        <v>506.11458608377075</v>
      </c>
      <c r="AA5" s="11">
        <f t="shared" si="2"/>
        <v>511.17573194460846</v>
      </c>
    </row>
    <row r="6" spans="2:146" x14ac:dyDescent="0.3">
      <c r="B6" t="s">
        <v>22</v>
      </c>
      <c r="G6" s="8">
        <v>165.5</v>
      </c>
      <c r="I6" s="8">
        <v>130.19999999999999</v>
      </c>
      <c r="N6">
        <v>0</v>
      </c>
      <c r="O6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7" spans="2:146" x14ac:dyDescent="0.3">
      <c r="B7" t="s">
        <v>23</v>
      </c>
      <c r="G7" s="8">
        <v>46.3</v>
      </c>
      <c r="I7" s="8">
        <v>31.1</v>
      </c>
      <c r="N7" s="8">
        <v>429.4</v>
      </c>
      <c r="O7" s="8">
        <v>587.20000000000005</v>
      </c>
      <c r="P7" s="8">
        <v>539.1</v>
      </c>
      <c r="Q7" s="8">
        <f>(N7*0.98)+110</f>
        <v>530.8119999999999</v>
      </c>
      <c r="R7" s="8">
        <f>Q7-110*1.03</f>
        <v>417.51199999999989</v>
      </c>
      <c r="S7" s="8">
        <f>R7*1.02</f>
        <v>425.86223999999987</v>
      </c>
      <c r="T7" s="8">
        <f>S7*1.01</f>
        <v>430.12086239999985</v>
      </c>
      <c r="U7" s="8">
        <f t="shared" ref="U7:AA7" si="3">T7*1.01</f>
        <v>434.42207102399988</v>
      </c>
      <c r="V7" s="8">
        <f t="shared" si="3"/>
        <v>438.76629173423987</v>
      </c>
      <c r="W7" s="8">
        <f t="shared" si="3"/>
        <v>443.1539546515823</v>
      </c>
      <c r="X7" s="8">
        <f t="shared" si="3"/>
        <v>447.5854941980981</v>
      </c>
      <c r="Y7" s="8">
        <f t="shared" si="3"/>
        <v>452.06134914007907</v>
      </c>
      <c r="Z7" s="8">
        <f t="shared" si="3"/>
        <v>456.58196263147988</v>
      </c>
      <c r="AA7" s="8">
        <f t="shared" si="3"/>
        <v>461.14778225779469</v>
      </c>
    </row>
    <row r="8" spans="2:146" x14ac:dyDescent="0.3">
      <c r="B8" t="s">
        <v>24</v>
      </c>
      <c r="G8" s="8">
        <v>-5.3</v>
      </c>
      <c r="I8" s="8">
        <v>-8.1</v>
      </c>
      <c r="N8" s="8">
        <v>8.5</v>
      </c>
      <c r="O8" s="8">
        <v>-34.700000000000003</v>
      </c>
      <c r="P8" s="8">
        <f>-11+9.2</f>
        <v>-1.8000000000000007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</row>
    <row r="9" spans="2:146" s="1" customFormat="1" x14ac:dyDescent="0.3">
      <c r="B9" s="1" t="s">
        <v>25</v>
      </c>
      <c r="G9" s="11">
        <f>G5-G6-G7-G8</f>
        <v>1.300000000000014</v>
      </c>
      <c r="I9" s="11">
        <f>I5-I6-I7-I8</f>
        <v>-7.0000000000000018</v>
      </c>
      <c r="N9" s="11">
        <f t="shared" ref="N9:P9" si="4">N5-N6-N7-N8</f>
        <v>68.600000000000023</v>
      </c>
      <c r="O9" s="11">
        <f t="shared" si="4"/>
        <v>-72.100000000000009</v>
      </c>
      <c r="P9" s="11">
        <f t="shared" si="4"/>
        <v>-159.40000000000003</v>
      </c>
      <c r="Q9" s="11">
        <f t="shared" ref="Q9" si="5">Q5-Q6-Q7-Q8</f>
        <v>-224.57199999999989</v>
      </c>
      <c r="R9" s="11">
        <f t="shared" ref="R9" si="6">R5-R6-R7-R8</f>
        <v>19.019200000000069</v>
      </c>
      <c r="S9" s="11">
        <f t="shared" ref="S9" si="7">S5-S6-S7-S8</f>
        <v>32.495520000000113</v>
      </c>
      <c r="T9" s="11">
        <f t="shared" ref="T9" si="8">T5-T6-T7-T8</f>
        <v>41.987630400000114</v>
      </c>
      <c r="U9" s="11">
        <f t="shared" ref="U9" si="9">U5-U6-U7-U8</f>
        <v>47.128591632000109</v>
      </c>
      <c r="V9" s="11">
        <f t="shared" ref="V9" si="10">V5-V6-V7-V8</f>
        <v>47.59987754832008</v>
      </c>
      <c r="W9" s="11">
        <f t="shared" ref="W9" si="11">W5-W6-W7-W8</f>
        <v>48.075876323803243</v>
      </c>
      <c r="X9" s="11">
        <f t="shared" ref="X9" si="12">X5-X6-X7-X8</f>
        <v>48.556635087041343</v>
      </c>
      <c r="Y9" s="11">
        <f t="shared" ref="Y9" si="13">Y5-Y6-Y7-Y8</f>
        <v>49.042201437911729</v>
      </c>
      <c r="Z9" s="11">
        <f t="shared" ref="Z9" si="14">Z5-Z6-Z7-Z8</f>
        <v>49.532623452290863</v>
      </c>
      <c r="AA9" s="11">
        <f t="shared" ref="AA9" si="15">AA5-AA6-AA7-AA8</f>
        <v>50.02794968681377</v>
      </c>
    </row>
    <row r="10" spans="2:146" x14ac:dyDescent="0.3">
      <c r="B10" t="s">
        <v>26</v>
      </c>
      <c r="G10" s="8">
        <f>3.6+1.9</f>
        <v>5.5</v>
      </c>
      <c r="I10" s="8">
        <f>3.6+8.3</f>
        <v>11.9</v>
      </c>
      <c r="N10" s="8">
        <f>0.3+3</f>
        <v>3.3</v>
      </c>
      <c r="O10" s="8">
        <f>-0.3+1.3+10+6.2</f>
        <v>17.2</v>
      </c>
      <c r="P10" s="8">
        <f>3.6+8.3</f>
        <v>11.9</v>
      </c>
      <c r="Q10" s="8">
        <f>P10*0.8</f>
        <v>9.5200000000000014</v>
      </c>
      <c r="R10" s="8">
        <f t="shared" ref="R10:AA10" si="16">Q10*0.8</f>
        <v>7.6160000000000014</v>
      </c>
      <c r="S10" s="8">
        <f t="shared" si="16"/>
        <v>6.0928000000000013</v>
      </c>
      <c r="T10" s="8">
        <f t="shared" si="16"/>
        <v>4.8742400000000012</v>
      </c>
      <c r="U10" s="8">
        <f t="shared" si="16"/>
        <v>3.8993920000000011</v>
      </c>
      <c r="V10" s="8">
        <f t="shared" si="16"/>
        <v>3.1195136000000012</v>
      </c>
      <c r="W10" s="8">
        <f t="shared" si="16"/>
        <v>2.495610880000001</v>
      </c>
      <c r="X10" s="8">
        <f t="shared" si="16"/>
        <v>1.9964887040000008</v>
      </c>
      <c r="Y10" s="8">
        <f t="shared" si="16"/>
        <v>1.5971909632000008</v>
      </c>
      <c r="Z10" s="8">
        <f t="shared" si="16"/>
        <v>1.2777527705600007</v>
      </c>
      <c r="AA10" s="8">
        <f t="shared" si="16"/>
        <v>1.0222022164480007</v>
      </c>
    </row>
    <row r="11" spans="2:146" s="1" customFormat="1" x14ac:dyDescent="0.3">
      <c r="B11" s="1" t="s">
        <v>27</v>
      </c>
      <c r="G11" s="11">
        <f>G9-G10</f>
        <v>-4.199999999999986</v>
      </c>
      <c r="I11" s="11">
        <f>I9-I10</f>
        <v>-18.900000000000002</v>
      </c>
      <c r="N11" s="11">
        <f>N9-N10</f>
        <v>65.300000000000026</v>
      </c>
      <c r="O11" s="11">
        <f>O9-O10</f>
        <v>-89.300000000000011</v>
      </c>
      <c r="P11" s="11">
        <f>P9-P10</f>
        <v>-171.30000000000004</v>
      </c>
      <c r="Q11" s="11">
        <f t="shared" ref="Q11:AA11" si="17">Q9-Q10</f>
        <v>-234.0919999999999</v>
      </c>
      <c r="R11" s="11">
        <f t="shared" si="17"/>
        <v>11.403200000000068</v>
      </c>
      <c r="S11" s="11">
        <f t="shared" si="17"/>
        <v>26.402720000000112</v>
      </c>
      <c r="T11" s="11">
        <f t="shared" si="17"/>
        <v>37.113390400000114</v>
      </c>
      <c r="U11" s="11">
        <f t="shared" si="17"/>
        <v>43.22919963200011</v>
      </c>
      <c r="V11" s="11">
        <f t="shared" si="17"/>
        <v>44.480363948320075</v>
      </c>
      <c r="W11" s="11">
        <f t="shared" si="17"/>
        <v>45.580265443803242</v>
      </c>
      <c r="X11" s="11">
        <f t="shared" si="17"/>
        <v>46.560146383041342</v>
      </c>
      <c r="Y11" s="11">
        <f t="shared" si="17"/>
        <v>47.445010474711729</v>
      </c>
      <c r="Z11" s="11">
        <f t="shared" si="17"/>
        <v>48.254870681730864</v>
      </c>
      <c r="AA11" s="11">
        <f t="shared" si="17"/>
        <v>49.005747470365769</v>
      </c>
    </row>
    <row r="12" spans="2:146" x14ac:dyDescent="0.3">
      <c r="B12" t="s">
        <v>28</v>
      </c>
      <c r="G12" s="8">
        <v>2.4</v>
      </c>
      <c r="I12" s="8">
        <v>-3.5</v>
      </c>
      <c r="N12" s="8">
        <v>14.6</v>
      </c>
      <c r="O12" s="8">
        <v>12.4</v>
      </c>
      <c r="P12" s="8">
        <v>-3.5</v>
      </c>
      <c r="Q12" s="8">
        <f>Q11*0.2</f>
        <v>-46.818399999999983</v>
      </c>
      <c r="R12" s="8">
        <f t="shared" ref="R12:AA12" si="18">R11*0.2</f>
        <v>2.2806400000000138</v>
      </c>
      <c r="S12" s="8">
        <f t="shared" si="18"/>
        <v>5.280544000000023</v>
      </c>
      <c r="T12" s="8">
        <f t="shared" si="18"/>
        <v>7.4226780800000229</v>
      </c>
      <c r="U12" s="8">
        <f t="shared" si="18"/>
        <v>8.6458399264000221</v>
      </c>
      <c r="V12" s="8">
        <f t="shared" si="18"/>
        <v>8.8960727896640162</v>
      </c>
      <c r="W12" s="8">
        <f t="shared" si="18"/>
        <v>9.1160530887606495</v>
      </c>
      <c r="X12" s="8">
        <f t="shared" si="18"/>
        <v>9.3120292766082695</v>
      </c>
      <c r="Y12" s="8">
        <f t="shared" si="18"/>
        <v>9.4890020949423466</v>
      </c>
      <c r="Z12" s="8">
        <f t="shared" si="18"/>
        <v>9.6509741363461732</v>
      </c>
      <c r="AA12" s="8">
        <f t="shared" si="18"/>
        <v>9.8011494940731545</v>
      </c>
    </row>
    <row r="13" spans="2:146" s="1" customFormat="1" x14ac:dyDescent="0.3">
      <c r="B13" s="1" t="s">
        <v>29</v>
      </c>
      <c r="G13" s="11">
        <f>G11-G12</f>
        <v>-6.5999999999999854</v>
      </c>
      <c r="I13" s="11">
        <f>I11-I12</f>
        <v>-15.400000000000002</v>
      </c>
      <c r="N13" s="11">
        <f>N11-N12</f>
        <v>50.700000000000024</v>
      </c>
      <c r="O13" s="11">
        <f>O11-O12</f>
        <v>-101.70000000000002</v>
      </c>
      <c r="P13" s="11">
        <f>P11-P12</f>
        <v>-167.80000000000004</v>
      </c>
      <c r="Q13" s="11">
        <f t="shared" ref="Q13:AA13" si="19">Q11-Q12</f>
        <v>-187.27359999999993</v>
      </c>
      <c r="R13" s="11">
        <f t="shared" si="19"/>
        <v>9.1225600000000533</v>
      </c>
      <c r="S13" s="11">
        <f t="shared" si="19"/>
        <v>21.122176000000088</v>
      </c>
      <c r="T13" s="11">
        <f t="shared" si="19"/>
        <v>29.690712320000092</v>
      </c>
      <c r="U13" s="11">
        <f t="shared" si="19"/>
        <v>34.583359705600088</v>
      </c>
      <c r="V13" s="11">
        <f t="shared" si="19"/>
        <v>35.584291158656058</v>
      </c>
      <c r="W13" s="11">
        <f t="shared" si="19"/>
        <v>36.464212355042591</v>
      </c>
      <c r="X13" s="11">
        <f t="shared" si="19"/>
        <v>37.248117106433071</v>
      </c>
      <c r="Y13" s="11">
        <f t="shared" si="19"/>
        <v>37.956008379769386</v>
      </c>
      <c r="Z13" s="11">
        <f t="shared" si="19"/>
        <v>38.603896545384693</v>
      </c>
      <c r="AA13" s="11">
        <f t="shared" si="19"/>
        <v>39.204597976292618</v>
      </c>
      <c r="AB13" s="1">
        <f>AA13*(1+$AD$19)</f>
        <v>38.812551996529692</v>
      </c>
      <c r="AC13" s="1">
        <f t="shared" ref="AC13:CN13" si="20">AB13*(1+$AD$19)</f>
        <v>38.424426476564392</v>
      </c>
      <c r="AD13" s="1">
        <f t="shared" si="20"/>
        <v>38.040182211798751</v>
      </c>
      <c r="AE13" s="1">
        <f t="shared" si="20"/>
        <v>37.659780389680762</v>
      </c>
      <c r="AF13" s="1">
        <f t="shared" si="20"/>
        <v>37.283182585783955</v>
      </c>
      <c r="AG13" s="1">
        <f t="shared" si="20"/>
        <v>36.910350759926118</v>
      </c>
      <c r="AH13" s="1">
        <f t="shared" si="20"/>
        <v>36.541247252326855</v>
      </c>
      <c r="AI13" s="1">
        <f t="shared" si="20"/>
        <v>36.175834779803587</v>
      </c>
      <c r="AJ13" s="1">
        <f t="shared" si="20"/>
        <v>35.81407643200555</v>
      </c>
      <c r="AK13" s="1">
        <f t="shared" si="20"/>
        <v>35.455935667685495</v>
      </c>
      <c r="AL13" s="1">
        <f t="shared" si="20"/>
        <v>35.101376311008636</v>
      </c>
      <c r="AM13" s="1">
        <f t="shared" si="20"/>
        <v>34.750362547898547</v>
      </c>
      <c r="AN13" s="1">
        <f t="shared" si="20"/>
        <v>34.402858922419561</v>
      </c>
      <c r="AO13" s="1">
        <f t="shared" si="20"/>
        <v>34.058830333195367</v>
      </c>
      <c r="AP13" s="1">
        <f t="shared" si="20"/>
        <v>33.718242029863411</v>
      </c>
      <c r="AQ13" s="1">
        <f t="shared" si="20"/>
        <v>33.38105960956478</v>
      </c>
      <c r="AR13" s="1">
        <f t="shared" si="20"/>
        <v>33.047249013469134</v>
      </c>
      <c r="AS13" s="1">
        <f t="shared" si="20"/>
        <v>32.716776523334445</v>
      </c>
      <c r="AT13" s="1">
        <f t="shared" si="20"/>
        <v>32.389608758101097</v>
      </c>
      <c r="AU13" s="1">
        <f t="shared" si="20"/>
        <v>32.065712670520085</v>
      </c>
      <c r="AV13" s="1">
        <f t="shared" si="20"/>
        <v>31.745055543814885</v>
      </c>
      <c r="AW13" s="1">
        <f t="shared" si="20"/>
        <v>31.427604988376736</v>
      </c>
      <c r="AX13" s="1">
        <f t="shared" si="20"/>
        <v>31.11332893849297</v>
      </c>
      <c r="AY13" s="1">
        <f t="shared" si="20"/>
        <v>30.80219564910804</v>
      </c>
      <c r="AZ13" s="1">
        <f t="shared" si="20"/>
        <v>30.494173692616958</v>
      </c>
      <c r="BA13" s="1">
        <f t="shared" si="20"/>
        <v>30.189231955690786</v>
      </c>
      <c r="BB13" s="1">
        <f t="shared" si="20"/>
        <v>29.887339636133877</v>
      </c>
      <c r="BC13" s="1">
        <f t="shared" si="20"/>
        <v>29.588466239772536</v>
      </c>
      <c r="BD13" s="1">
        <f t="shared" si="20"/>
        <v>29.292581577374811</v>
      </c>
      <c r="BE13" s="1">
        <f t="shared" si="20"/>
        <v>28.999655761601062</v>
      </c>
      <c r="BF13" s="1">
        <f t="shared" si="20"/>
        <v>28.709659203985051</v>
      </c>
      <c r="BG13" s="1">
        <f t="shared" si="20"/>
        <v>28.4225626119452</v>
      </c>
      <c r="BH13" s="1">
        <f t="shared" si="20"/>
        <v>28.138336985825749</v>
      </c>
      <c r="BI13" s="1">
        <f t="shared" si="20"/>
        <v>27.856953615967491</v>
      </c>
      <c r="BJ13" s="1">
        <f t="shared" si="20"/>
        <v>27.578384079807815</v>
      </c>
      <c r="BK13" s="1">
        <f t="shared" si="20"/>
        <v>27.302600239009738</v>
      </c>
      <c r="BL13" s="1">
        <f t="shared" si="20"/>
        <v>27.029574236619641</v>
      </c>
      <c r="BM13" s="1">
        <f t="shared" si="20"/>
        <v>26.759278494253444</v>
      </c>
      <c r="BN13" s="1">
        <f t="shared" si="20"/>
        <v>26.491685709310907</v>
      </c>
      <c r="BO13" s="1">
        <f t="shared" si="20"/>
        <v>26.226768852217798</v>
      </c>
      <c r="BP13" s="1">
        <f t="shared" si="20"/>
        <v>25.964501163695619</v>
      </c>
      <c r="BQ13" s="1">
        <f t="shared" si="20"/>
        <v>25.704856152058664</v>
      </c>
      <c r="BR13" s="1">
        <f t="shared" si="20"/>
        <v>25.447807590538076</v>
      </c>
      <c r="BS13" s="1">
        <f t="shared" si="20"/>
        <v>25.193329514632694</v>
      </c>
      <c r="BT13" s="1">
        <f t="shared" si="20"/>
        <v>24.941396219486368</v>
      </c>
      <c r="BU13" s="1">
        <f t="shared" si="20"/>
        <v>24.691982257291503</v>
      </c>
      <c r="BV13" s="1">
        <f t="shared" si="20"/>
        <v>24.445062434718587</v>
      </c>
      <c r="BW13" s="1">
        <f t="shared" si="20"/>
        <v>24.200611810371399</v>
      </c>
      <c r="BX13" s="1">
        <f t="shared" si="20"/>
        <v>23.958605692267685</v>
      </c>
      <c r="BY13" s="1">
        <f t="shared" si="20"/>
        <v>23.71901963534501</v>
      </c>
      <c r="BZ13" s="1">
        <f t="shared" si="20"/>
        <v>23.481829438991561</v>
      </c>
      <c r="CA13" s="1">
        <f t="shared" si="20"/>
        <v>23.247011144601643</v>
      </c>
      <c r="CB13" s="1">
        <f t="shared" si="20"/>
        <v>23.014541033155627</v>
      </c>
      <c r="CC13" s="1">
        <f t="shared" si="20"/>
        <v>22.784395622824071</v>
      </c>
      <c r="CD13" s="1">
        <f t="shared" si="20"/>
        <v>22.55655166659583</v>
      </c>
      <c r="CE13" s="1">
        <f t="shared" si="20"/>
        <v>22.330986149929871</v>
      </c>
      <c r="CF13" s="1">
        <f t="shared" si="20"/>
        <v>22.107676288430572</v>
      </c>
      <c r="CG13" s="1">
        <f t="shared" si="20"/>
        <v>21.886599525546266</v>
      </c>
      <c r="CH13" s="1">
        <f t="shared" si="20"/>
        <v>21.667733530290803</v>
      </c>
      <c r="CI13" s="1">
        <f t="shared" si="20"/>
        <v>21.451056194987896</v>
      </c>
      <c r="CJ13" s="1">
        <f t="shared" si="20"/>
        <v>21.236545633038016</v>
      </c>
      <c r="CK13" s="1">
        <f t="shared" si="20"/>
        <v>21.024180176707635</v>
      </c>
      <c r="CL13" s="1">
        <f t="shared" si="20"/>
        <v>20.813938374940559</v>
      </c>
      <c r="CM13" s="1">
        <f t="shared" si="20"/>
        <v>20.605798991191154</v>
      </c>
      <c r="CN13" s="1">
        <f t="shared" si="20"/>
        <v>20.399741001279242</v>
      </c>
      <c r="CO13" s="1">
        <f t="shared" ref="CO13:EP13" si="21">CN13*(1+$AD$19)</f>
        <v>20.195743591266449</v>
      </c>
      <c r="CP13" s="1">
        <f t="shared" si="21"/>
        <v>19.993786155353785</v>
      </c>
      <c r="CQ13" s="1">
        <f t="shared" si="21"/>
        <v>19.793848293800249</v>
      </c>
      <c r="CR13" s="1">
        <f t="shared" si="21"/>
        <v>19.595909810862246</v>
      </c>
      <c r="CS13" s="1">
        <f t="shared" si="21"/>
        <v>19.399950712753622</v>
      </c>
      <c r="CT13" s="1">
        <f t="shared" si="21"/>
        <v>19.205951205626086</v>
      </c>
      <c r="CU13" s="1">
        <f t="shared" si="21"/>
        <v>19.013891693569825</v>
      </c>
      <c r="CV13" s="1">
        <f t="shared" si="21"/>
        <v>18.823752776634127</v>
      </c>
      <c r="CW13" s="1">
        <f t="shared" si="21"/>
        <v>18.635515248867787</v>
      </c>
      <c r="CX13" s="1">
        <f t="shared" si="21"/>
        <v>18.44916009637911</v>
      </c>
      <c r="CY13" s="1">
        <f t="shared" si="21"/>
        <v>18.264668495415318</v>
      </c>
      <c r="CZ13" s="1">
        <f t="shared" si="21"/>
        <v>18.082021810461164</v>
      </c>
      <c r="DA13" s="1">
        <f t="shared" si="21"/>
        <v>17.901201592356554</v>
      </c>
      <c r="DB13" s="1">
        <f t="shared" si="21"/>
        <v>17.722189576432989</v>
      </c>
      <c r="DC13" s="1">
        <f t="shared" si="21"/>
        <v>17.544967680668659</v>
      </c>
      <c r="DD13" s="1">
        <f t="shared" si="21"/>
        <v>17.369518003861973</v>
      </c>
      <c r="DE13" s="1">
        <f t="shared" si="21"/>
        <v>17.195822823823352</v>
      </c>
      <c r="DF13" s="1">
        <f t="shared" si="21"/>
        <v>17.02386459558512</v>
      </c>
      <c r="DG13" s="1">
        <f t="shared" si="21"/>
        <v>16.853625949629269</v>
      </c>
      <c r="DH13" s="1">
        <f t="shared" si="21"/>
        <v>16.685089690132976</v>
      </c>
      <c r="DI13" s="1">
        <f t="shared" si="21"/>
        <v>16.518238793231646</v>
      </c>
      <c r="DJ13" s="1">
        <f t="shared" si="21"/>
        <v>16.353056405299331</v>
      </c>
      <c r="DK13" s="1">
        <f t="shared" si="21"/>
        <v>16.189525841246336</v>
      </c>
      <c r="DL13" s="1">
        <f t="shared" si="21"/>
        <v>16.027630582833872</v>
      </c>
      <c r="DM13" s="1">
        <f t="shared" si="21"/>
        <v>15.867354277005534</v>
      </c>
      <c r="DN13" s="1">
        <f t="shared" si="21"/>
        <v>15.708680734235479</v>
      </c>
      <c r="DO13" s="1">
        <f t="shared" si="21"/>
        <v>15.551593926893124</v>
      </c>
      <c r="DP13" s="1">
        <f t="shared" si="21"/>
        <v>15.396077987624192</v>
      </c>
      <c r="DQ13" s="1">
        <f t="shared" si="21"/>
        <v>15.242117207747951</v>
      </c>
      <c r="DR13" s="1">
        <f t="shared" si="21"/>
        <v>15.089696035670471</v>
      </c>
      <c r="DS13" s="1">
        <f t="shared" si="21"/>
        <v>14.938799075313765</v>
      </c>
      <c r="DT13" s="1">
        <f t="shared" si="21"/>
        <v>14.789411084560628</v>
      </c>
      <c r="DU13" s="1">
        <f t="shared" si="21"/>
        <v>14.641516973715023</v>
      </c>
      <c r="DV13" s="1">
        <f t="shared" si="21"/>
        <v>14.495101803977873</v>
      </c>
      <c r="DW13" s="1">
        <f t="shared" si="21"/>
        <v>14.350150785938094</v>
      </c>
      <c r="DX13" s="1">
        <f t="shared" si="21"/>
        <v>14.206649278078713</v>
      </c>
      <c r="DY13" s="1">
        <f t="shared" si="21"/>
        <v>14.064582785297926</v>
      </c>
      <c r="DZ13" s="1">
        <f t="shared" si="21"/>
        <v>13.923936957444946</v>
      </c>
      <c r="EA13" s="1">
        <f t="shared" si="21"/>
        <v>13.784697587870497</v>
      </c>
      <c r="EB13" s="1">
        <f t="shared" si="21"/>
        <v>13.646850611991791</v>
      </c>
      <c r="EC13" s="1">
        <f t="shared" si="21"/>
        <v>13.510382105871873</v>
      </c>
      <c r="ED13" s="1">
        <f t="shared" si="21"/>
        <v>13.375278284813154</v>
      </c>
      <c r="EE13" s="1">
        <f t="shared" si="21"/>
        <v>13.241525501965022</v>
      </c>
      <c r="EF13" s="1">
        <f t="shared" si="21"/>
        <v>13.109110246945372</v>
      </c>
      <c r="EG13" s="1">
        <f t="shared" si="21"/>
        <v>12.978019144475919</v>
      </c>
      <c r="EH13" s="1">
        <f t="shared" si="21"/>
        <v>12.84823895303116</v>
      </c>
      <c r="EI13" s="1">
        <f t="shared" si="21"/>
        <v>12.719756563500848</v>
      </c>
      <c r="EJ13" s="1">
        <f t="shared" si="21"/>
        <v>12.59255899786584</v>
      </c>
      <c r="EK13" s="1">
        <f t="shared" si="21"/>
        <v>12.466633407887182</v>
      </c>
      <c r="EL13" s="1">
        <f t="shared" si="21"/>
        <v>12.341967073808309</v>
      </c>
      <c r="EM13" s="1">
        <f t="shared" si="21"/>
        <v>12.218547403070225</v>
      </c>
      <c r="EN13" s="1">
        <f t="shared" si="21"/>
        <v>12.096361929039523</v>
      </c>
      <c r="EO13" s="1">
        <f t="shared" si="21"/>
        <v>11.975398309749128</v>
      </c>
      <c r="EP13" s="1">
        <f t="shared" si="21"/>
        <v>11.855644326651637</v>
      </c>
    </row>
    <row r="14" spans="2:146" x14ac:dyDescent="0.3">
      <c r="B14" t="s">
        <v>2</v>
      </c>
      <c r="G14" s="8">
        <v>82.1</v>
      </c>
      <c r="I14" s="8">
        <v>82.1</v>
      </c>
      <c r="N14" s="8">
        <v>82.1</v>
      </c>
      <c r="O14" s="8">
        <v>82.1</v>
      </c>
      <c r="P14" s="8">
        <v>82.1</v>
      </c>
      <c r="Q14" s="8">
        <v>82.1</v>
      </c>
      <c r="R14" s="8">
        <v>82.1</v>
      </c>
      <c r="S14" s="8">
        <v>82.1</v>
      </c>
      <c r="T14" s="8">
        <v>82.1</v>
      </c>
      <c r="U14" s="8">
        <v>82.1</v>
      </c>
      <c r="V14" s="8">
        <v>82.1</v>
      </c>
      <c r="W14" s="8">
        <v>82.1</v>
      </c>
      <c r="X14" s="8">
        <v>82.1</v>
      </c>
      <c r="Y14" s="8">
        <v>82.1</v>
      </c>
      <c r="Z14" s="8">
        <v>82.1</v>
      </c>
      <c r="AA14" s="8">
        <v>82.1</v>
      </c>
    </row>
    <row r="15" spans="2:146" s="1" customFormat="1" x14ac:dyDescent="0.3">
      <c r="B15" s="1" t="s">
        <v>30</v>
      </c>
      <c r="G15" s="10">
        <f>G13/G14</f>
        <v>-8.0389768574908482E-2</v>
      </c>
      <c r="I15" s="10">
        <f>I13/I14</f>
        <v>-0.18757612667478687</v>
      </c>
      <c r="N15" s="10">
        <f>N13/N14</f>
        <v>0.61753958587088953</v>
      </c>
      <c r="O15" s="10">
        <f>O13/O14</f>
        <v>-1.2387332521315473</v>
      </c>
      <c r="P15" s="10">
        <f>P13/P14</f>
        <v>-2.0438489646772235</v>
      </c>
      <c r="Q15" s="10">
        <f t="shared" ref="Q15:AA15" si="22">Q13/Q14</f>
        <v>-2.28104263093788</v>
      </c>
      <c r="R15" s="10">
        <f t="shared" si="22"/>
        <v>0.11111522533495803</v>
      </c>
      <c r="S15" s="10">
        <f t="shared" si="22"/>
        <v>0.25727376370280258</v>
      </c>
      <c r="T15" s="10">
        <f t="shared" si="22"/>
        <v>0.36164083215590859</v>
      </c>
      <c r="U15" s="10">
        <f t="shared" si="22"/>
        <v>0.42123458837515337</v>
      </c>
      <c r="V15" s="10">
        <f t="shared" si="22"/>
        <v>0.43342620168886797</v>
      </c>
      <c r="W15" s="10">
        <f t="shared" si="22"/>
        <v>0.44414387764972707</v>
      </c>
      <c r="X15" s="10">
        <f t="shared" si="22"/>
        <v>0.45369204758140164</v>
      </c>
      <c r="Y15" s="10">
        <f t="shared" si="22"/>
        <v>0.46231435298135676</v>
      </c>
      <c r="Z15" s="10">
        <f t="shared" si="22"/>
        <v>0.47020580445048349</v>
      </c>
      <c r="AA15" s="10">
        <f t="shared" si="22"/>
        <v>0.47752250884643876</v>
      </c>
    </row>
    <row r="17" spans="2:30" x14ac:dyDescent="0.3">
      <c r="B17" s="1" t="s">
        <v>31</v>
      </c>
      <c r="H17" s="12">
        <f>H3/F3-1</f>
        <v>-0.19126869271587088</v>
      </c>
      <c r="I17" s="12">
        <f t="shared" ref="I17:J17" si="23">I3/G3-1</f>
        <v>-0.23408290436196155</v>
      </c>
      <c r="J17" s="12">
        <f t="shared" si="23"/>
        <v>-0.18252311362958529</v>
      </c>
      <c r="K17" s="12"/>
      <c r="L17" s="12"/>
      <c r="N17" s="12"/>
      <c r="O17" s="12">
        <f>O3/N3-1</f>
        <v>-3.4403669724769603E-4</v>
      </c>
      <c r="P17" s="12">
        <f t="shared" ref="P17:AA17" si="24">P3/O3-1</f>
        <v>-0.19192382700470356</v>
      </c>
      <c r="Q17" s="12">
        <f t="shared" si="24"/>
        <v>-0.20954003407155031</v>
      </c>
      <c r="R17" s="12">
        <f t="shared" si="24"/>
        <v>0.39999999999999991</v>
      </c>
      <c r="S17" s="12">
        <f t="shared" si="24"/>
        <v>5.0000000000000044E-2</v>
      </c>
      <c r="T17" s="12">
        <f t="shared" si="24"/>
        <v>3.0000000000000027E-2</v>
      </c>
      <c r="U17" s="12">
        <f t="shared" si="24"/>
        <v>2.0000000000000018E-2</v>
      </c>
      <c r="V17" s="12">
        <f t="shared" si="24"/>
        <v>1.0000000000000009E-2</v>
      </c>
      <c r="W17" s="12">
        <f t="shared" si="24"/>
        <v>1.0000000000000009E-2</v>
      </c>
      <c r="X17" s="12">
        <f t="shared" si="24"/>
        <v>1.0000000000000009E-2</v>
      </c>
      <c r="Y17" s="12">
        <f t="shared" si="24"/>
        <v>1.0000000000000009E-2</v>
      </c>
      <c r="Z17" s="12">
        <f t="shared" si="24"/>
        <v>1.0000000000000009E-2</v>
      </c>
      <c r="AA17" s="12">
        <f t="shared" si="24"/>
        <v>1.0000000000000009E-2</v>
      </c>
    </row>
    <row r="18" spans="2:30" x14ac:dyDescent="0.3">
      <c r="B18" s="1" t="s">
        <v>32</v>
      </c>
      <c r="N18" s="12">
        <f t="shared" ref="N18" si="25">N5/N3</f>
        <v>0.58084862385321101</v>
      </c>
      <c r="O18" s="12">
        <f>O5/O3</f>
        <v>0.55110703223586099</v>
      </c>
      <c r="P18" s="12">
        <f t="shared" ref="P18:AA18" si="26">P5/P3</f>
        <v>0.53648495173197042</v>
      </c>
      <c r="Q18" s="12">
        <f t="shared" si="26"/>
        <v>0.55000000000000004</v>
      </c>
      <c r="R18" s="12">
        <f t="shared" si="26"/>
        <v>0.56000000000000005</v>
      </c>
      <c r="S18" s="12">
        <f t="shared" si="26"/>
        <v>0.56000000000000005</v>
      </c>
      <c r="T18" s="12">
        <f t="shared" si="26"/>
        <v>0.56000000000000005</v>
      </c>
      <c r="U18" s="12">
        <f t="shared" si="26"/>
        <v>0.56000000000000005</v>
      </c>
      <c r="V18" s="12">
        <f t="shared" si="26"/>
        <v>0.56000000000000005</v>
      </c>
      <c r="W18" s="12">
        <f t="shared" si="26"/>
        <v>0.56000000000000005</v>
      </c>
      <c r="X18" s="12">
        <f t="shared" si="26"/>
        <v>0.56000000000000005</v>
      </c>
      <c r="Y18" s="12">
        <f t="shared" si="26"/>
        <v>0.56000000000000005</v>
      </c>
      <c r="Z18" s="12">
        <f t="shared" si="26"/>
        <v>0.56000000000000005</v>
      </c>
      <c r="AA18" s="12">
        <f t="shared" si="26"/>
        <v>0.56000000000000005</v>
      </c>
    </row>
    <row r="19" spans="2:30" x14ac:dyDescent="0.3">
      <c r="B19" s="5" t="s">
        <v>33</v>
      </c>
      <c r="N19" s="12">
        <f t="shared" ref="N19" si="27">N9/N3</f>
        <v>7.8669724770642227E-2</v>
      </c>
      <c r="O19" s="12">
        <f>O9/O3</f>
        <v>-8.2711942181943332E-2</v>
      </c>
      <c r="P19" s="12">
        <f t="shared" ref="P19:AA19" si="28">P9/P3</f>
        <v>-0.22629187961385583</v>
      </c>
      <c r="Q19" s="12">
        <f t="shared" si="28"/>
        <v>-0.40332614942528722</v>
      </c>
      <c r="R19" s="12">
        <f t="shared" si="28"/>
        <v>2.4398604269294018E-2</v>
      </c>
      <c r="S19" s="12">
        <f t="shared" si="28"/>
        <v>3.9701501290171387E-2</v>
      </c>
      <c r="T19" s="12">
        <f t="shared" si="28"/>
        <v>4.9804384760265143E-2</v>
      </c>
      <c r="U19" s="12">
        <f t="shared" si="28"/>
        <v>5.4806302556733126E-2</v>
      </c>
      <c r="V19" s="12">
        <f t="shared" si="28"/>
        <v>5.4806302556733091E-2</v>
      </c>
      <c r="W19" s="12">
        <f t="shared" si="28"/>
        <v>5.480630255673305E-2</v>
      </c>
      <c r="X19" s="12">
        <f t="shared" si="28"/>
        <v>5.4806302556733126E-2</v>
      </c>
      <c r="Y19" s="12">
        <f t="shared" si="28"/>
        <v>5.4806302556733098E-2</v>
      </c>
      <c r="Z19" s="12">
        <f t="shared" si="28"/>
        <v>5.4806302556733112E-2</v>
      </c>
      <c r="AA19" s="12">
        <f t="shared" si="28"/>
        <v>5.4806302556733112E-2</v>
      </c>
      <c r="AC19" t="s">
        <v>36</v>
      </c>
      <c r="AD19" s="12">
        <v>-0.01</v>
      </c>
    </row>
    <row r="20" spans="2:30" x14ac:dyDescent="0.3">
      <c r="B20" s="5" t="s">
        <v>35</v>
      </c>
      <c r="N20" s="12"/>
      <c r="O20" s="12"/>
      <c r="AC20" t="s">
        <v>37</v>
      </c>
      <c r="AD20" s="12">
        <v>0.09</v>
      </c>
    </row>
    <row r="21" spans="2:30" x14ac:dyDescent="0.3">
      <c r="B21" s="5" t="s">
        <v>34</v>
      </c>
      <c r="N21" s="12"/>
      <c r="O21" s="12">
        <f t="shared" ref="O21:AA21" si="29">O7/N7-1</f>
        <v>0.36748952026082926</v>
      </c>
      <c r="P21" s="12">
        <f t="shared" si="29"/>
        <v>-8.1914168937329723E-2</v>
      </c>
      <c r="Q21" s="12">
        <f t="shared" si="29"/>
        <v>-1.5373771099981726E-2</v>
      </c>
      <c r="R21" s="12">
        <f t="shared" si="29"/>
        <v>-0.21344656865330858</v>
      </c>
      <c r="S21" s="12">
        <f t="shared" si="29"/>
        <v>2.0000000000000018E-2</v>
      </c>
      <c r="T21" s="12">
        <f t="shared" si="29"/>
        <v>1.0000000000000009E-2</v>
      </c>
      <c r="U21" s="12">
        <f t="shared" si="29"/>
        <v>1.0000000000000009E-2</v>
      </c>
      <c r="V21" s="12">
        <f t="shared" si="29"/>
        <v>1.0000000000000009E-2</v>
      </c>
      <c r="W21" s="12">
        <f t="shared" si="29"/>
        <v>1.0000000000000009E-2</v>
      </c>
      <c r="X21" s="12">
        <f t="shared" si="29"/>
        <v>1.0000000000000009E-2</v>
      </c>
      <c r="Y21" s="12">
        <f t="shared" si="29"/>
        <v>1.0000000000000009E-2</v>
      </c>
      <c r="Z21" s="12">
        <f t="shared" si="29"/>
        <v>1.0000000000000009E-2</v>
      </c>
      <c r="AA21" s="12">
        <f t="shared" si="29"/>
        <v>1.0000000000000009E-2</v>
      </c>
      <c r="AC21" t="s">
        <v>38</v>
      </c>
      <c r="AD21" s="8">
        <f>NPV(AD20,Q13:EP13)</f>
        <v>154.93234887507887</v>
      </c>
    </row>
    <row r="22" spans="2:30" x14ac:dyDescent="0.3">
      <c r="B22" s="5" t="s">
        <v>28</v>
      </c>
      <c r="N22" s="12">
        <f t="shared" ref="N22" si="30">N12/N11</f>
        <v>0.22358346094946391</v>
      </c>
      <c r="O22" s="12">
        <f>O12/O11</f>
        <v>-0.13885778275475921</v>
      </c>
      <c r="P22" s="12">
        <f t="shared" ref="P22:AA22" si="31">P12/P11</f>
        <v>2.0431990659661409E-2</v>
      </c>
      <c r="Q22" s="12">
        <f t="shared" si="31"/>
        <v>0.2</v>
      </c>
      <c r="R22" s="12">
        <f t="shared" si="31"/>
        <v>0.2</v>
      </c>
      <c r="S22" s="12">
        <f t="shared" si="31"/>
        <v>0.2</v>
      </c>
      <c r="T22" s="12">
        <f t="shared" si="31"/>
        <v>0.2</v>
      </c>
      <c r="U22" s="12">
        <f t="shared" si="31"/>
        <v>0.2</v>
      </c>
      <c r="V22" s="12">
        <f t="shared" si="31"/>
        <v>0.2</v>
      </c>
      <c r="W22" s="12">
        <f t="shared" si="31"/>
        <v>0.2</v>
      </c>
      <c r="X22" s="12">
        <f t="shared" si="31"/>
        <v>0.2</v>
      </c>
      <c r="Y22" s="12">
        <f t="shared" si="31"/>
        <v>0.2</v>
      </c>
      <c r="Z22" s="12">
        <f t="shared" si="31"/>
        <v>0.2</v>
      </c>
      <c r="AA22" s="12">
        <f t="shared" si="31"/>
        <v>0.2</v>
      </c>
      <c r="AC22" t="s">
        <v>39</v>
      </c>
      <c r="AD22" s="8">
        <f>Main!D8</f>
        <v>27.000000000000004</v>
      </c>
    </row>
    <row r="23" spans="2:30" x14ac:dyDescent="0.3">
      <c r="AC23" t="s">
        <v>40</v>
      </c>
      <c r="AD23" s="8">
        <f>AD21+AD22</f>
        <v>181.93234887507887</v>
      </c>
    </row>
    <row r="24" spans="2:30" x14ac:dyDescent="0.3">
      <c r="AC24" t="s">
        <v>41</v>
      </c>
      <c r="AD24" s="7">
        <f>AD23/AA14</f>
        <v>2.215984760963202</v>
      </c>
    </row>
    <row r="25" spans="2:30" x14ac:dyDescent="0.3">
      <c r="AC25" t="s">
        <v>42</v>
      </c>
      <c r="AD25" s="7">
        <f>Main!D3</f>
        <v>3.8</v>
      </c>
    </row>
    <row r="26" spans="2:30" x14ac:dyDescent="0.3">
      <c r="AC26" s="1" t="s">
        <v>43</v>
      </c>
      <c r="AD26" s="13">
        <f>AD24/AD25-1</f>
        <v>-0.41684611553599948</v>
      </c>
    </row>
    <row r="27" spans="2:30" x14ac:dyDescent="0.3">
      <c r="AC27" t="s">
        <v>44</v>
      </c>
      <c r="AD27" s="9" t="s">
        <v>45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2021-02-10T16:26:36Z</dcterms:created>
  <dcterms:modified xsi:type="dcterms:W3CDTF">2021-08-12T11:03:10Z</dcterms:modified>
</cp:coreProperties>
</file>