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462F67AC-A3EE-4A9B-B860-6739C9B6459C}" xr6:coauthVersionLast="47" xr6:coauthVersionMax="47" xr10:uidLastSave="{00000000-0000-0000-0000-000000000000}"/>
  <bookViews>
    <workbookView xWindow="-108" yWindow="-108" windowWidth="23256" windowHeight="12576" activeTab="1" xr2:uid="{98E6FD13-77EA-4D5D-8214-0B2A29F4553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8" i="2" l="1"/>
  <c r="W5" i="2"/>
  <c r="V5" i="2"/>
  <c r="D6" i="1"/>
  <c r="V15" i="2"/>
  <c r="D7" i="1"/>
  <c r="U15" i="2" l="1"/>
  <c r="U5" i="2"/>
  <c r="AI6" i="2"/>
  <c r="AJ6" i="2" s="1"/>
  <c r="AK6" i="2" s="1"/>
  <c r="AL6" i="2" s="1"/>
  <c r="V23" i="2"/>
  <c r="AK10" i="2"/>
  <c r="AL10" i="2" s="1"/>
  <c r="AM10" i="2" s="1"/>
  <c r="AN10" i="2" s="1"/>
  <c r="AO10" i="2" s="1"/>
  <c r="AP10" i="2" s="1"/>
  <c r="AQ10" i="2" s="1"/>
  <c r="AR10" i="2" s="1"/>
  <c r="AS10" i="2" s="1"/>
  <c r="AI8" i="2"/>
  <c r="AJ8" i="2" s="1"/>
  <c r="AK8" i="2" s="1"/>
  <c r="AL8" i="2" s="1"/>
  <c r="AI13" i="2"/>
  <c r="AI11" i="2"/>
  <c r="AI10" i="2"/>
  <c r="AH13" i="2"/>
  <c r="AH8" i="2"/>
  <c r="AH7" i="2"/>
  <c r="AH6" i="2"/>
  <c r="AH4" i="2"/>
  <c r="AH3" i="2"/>
  <c r="V18" i="2"/>
  <c r="AH15" i="2"/>
  <c r="AG15" i="2"/>
  <c r="AG13" i="2"/>
  <c r="AG7" i="2"/>
  <c r="AG6" i="2"/>
  <c r="AG4" i="2"/>
  <c r="AG3" i="2"/>
  <c r="L11" i="2"/>
  <c r="L8" i="2"/>
  <c r="L23" i="2" s="1"/>
  <c r="L5" i="2"/>
  <c r="L19" i="2" s="1"/>
  <c r="M11" i="2"/>
  <c r="M5" i="2"/>
  <c r="M19" i="2" s="1"/>
  <c r="Q11" i="2"/>
  <c r="Q10" i="2"/>
  <c r="AH10" i="2" s="1"/>
  <c r="Q5" i="2"/>
  <c r="Q9" i="2" s="1"/>
  <c r="N11" i="2"/>
  <c r="N10" i="2"/>
  <c r="AG10" i="2" s="1"/>
  <c r="N5" i="2"/>
  <c r="N19" i="2" s="1"/>
  <c r="R5" i="2"/>
  <c r="R19" i="2" s="1"/>
  <c r="O11" i="2"/>
  <c r="O5" i="2"/>
  <c r="O9" i="2" s="1"/>
  <c r="S5" i="2"/>
  <c r="S9" i="2" s="1"/>
  <c r="P5" i="2"/>
  <c r="P9" i="2" s="1"/>
  <c r="T5" i="2"/>
  <c r="T9" i="2" s="1"/>
  <c r="T12" i="2" s="1"/>
  <c r="T14" i="2" s="1"/>
  <c r="T16" i="2" s="1"/>
  <c r="T22" i="2"/>
  <c r="T23" i="2"/>
  <c r="S23" i="2"/>
  <c r="R23" i="2"/>
  <c r="Q23" i="2"/>
  <c r="O23" i="2"/>
  <c r="N23" i="2"/>
  <c r="M23" i="2"/>
  <c r="S22" i="2"/>
  <c r="R22" i="2"/>
  <c r="Q22" i="2"/>
  <c r="P22" i="2"/>
  <c r="O22" i="2"/>
  <c r="N22" i="2"/>
  <c r="M22" i="2"/>
  <c r="L22" i="2"/>
  <c r="V21" i="2"/>
  <c r="U21" i="2"/>
  <c r="T21" i="2"/>
  <c r="S21" i="2"/>
  <c r="R21" i="2"/>
  <c r="Q21" i="2"/>
  <c r="P21" i="2"/>
  <c r="O21" i="2"/>
  <c r="N21" i="2"/>
  <c r="M21" i="2"/>
  <c r="L21" i="2"/>
  <c r="T18" i="2"/>
  <c r="S18" i="2"/>
  <c r="R18" i="2"/>
  <c r="Q18" i="2"/>
  <c r="P18" i="2"/>
  <c r="O18" i="2"/>
  <c r="N18" i="2"/>
  <c r="M18" i="2"/>
  <c r="L18" i="2"/>
  <c r="D5" i="2"/>
  <c r="D9" i="2" s="1"/>
  <c r="D12" i="2" s="1"/>
  <c r="D14" i="2" s="1"/>
  <c r="K7" i="2"/>
  <c r="J7" i="2"/>
  <c r="I7" i="2"/>
  <c r="H5" i="2"/>
  <c r="Q19" i="2" l="1"/>
  <c r="AG11" i="2"/>
  <c r="AH11" i="2"/>
  <c r="W23" i="2"/>
  <c r="AG8" i="2"/>
  <c r="P23" i="2"/>
  <c r="AM6" i="2"/>
  <c r="AN6" i="2" s="1"/>
  <c r="AO6" i="2" s="1"/>
  <c r="AP6" i="2" s="1"/>
  <c r="AQ6" i="2" s="1"/>
  <c r="AQ21" i="2" s="1"/>
  <c r="W21" i="2"/>
  <c r="AM8" i="2"/>
  <c r="AN8" i="2" s="1"/>
  <c r="AO8" i="2" s="1"/>
  <c r="AP8" i="2" s="1"/>
  <c r="AQ8" i="2" s="1"/>
  <c r="AI3" i="2"/>
  <c r="AJ3" i="2" s="1"/>
  <c r="U22" i="2"/>
  <c r="AI4" i="2"/>
  <c r="W9" i="2"/>
  <c r="W12" i="2" s="1"/>
  <c r="V9" i="2"/>
  <c r="V12" i="2" s="1"/>
  <c r="U23" i="2"/>
  <c r="AH5" i="2"/>
  <c r="AH9" i="2" s="1"/>
  <c r="AH12" i="2" s="1"/>
  <c r="AH14" i="2" s="1"/>
  <c r="AH16" i="2" s="1"/>
  <c r="U19" i="2"/>
  <c r="W18" i="2"/>
  <c r="V19" i="2"/>
  <c r="V22" i="2"/>
  <c r="U18" i="2"/>
  <c r="AG5" i="2"/>
  <c r="L9" i="2"/>
  <c r="M9" i="2"/>
  <c r="Q12" i="2"/>
  <c r="Q20" i="2"/>
  <c r="N9" i="2"/>
  <c r="R9" i="2"/>
  <c r="O20" i="2"/>
  <c r="O12" i="2"/>
  <c r="O19" i="2"/>
  <c r="S19" i="2"/>
  <c r="S12" i="2"/>
  <c r="S20" i="2"/>
  <c r="P19" i="2"/>
  <c r="P12" i="2"/>
  <c r="P20" i="2"/>
  <c r="T19" i="2"/>
  <c r="T20" i="2"/>
  <c r="D16" i="2"/>
  <c r="D25" i="2"/>
  <c r="AW26" i="2"/>
  <c r="K22" i="2"/>
  <c r="H9" i="2"/>
  <c r="H20" i="2" s="1"/>
  <c r="AF13" i="2"/>
  <c r="AF11" i="2"/>
  <c r="AF10" i="2"/>
  <c r="AF8" i="2"/>
  <c r="AF6" i="2"/>
  <c r="K5" i="2"/>
  <c r="K4" i="2" s="1"/>
  <c r="J5" i="2"/>
  <c r="J4" i="2" s="1"/>
  <c r="I5" i="2"/>
  <c r="I4" i="2" s="1"/>
  <c r="AF3" i="2"/>
  <c r="AE23" i="2"/>
  <c r="AD23" i="2"/>
  <c r="AE21" i="2"/>
  <c r="AD21" i="2"/>
  <c r="AE18" i="2"/>
  <c r="AD18" i="2"/>
  <c r="AE22" i="2"/>
  <c r="AD22" i="2"/>
  <c r="AC22" i="2"/>
  <c r="D5" i="1"/>
  <c r="D8" i="1"/>
  <c r="AW23" i="2" s="1"/>
  <c r="D24" i="2"/>
  <c r="K23" i="2"/>
  <c r="H23" i="2"/>
  <c r="G23" i="2"/>
  <c r="G22" i="2"/>
  <c r="D22" i="2"/>
  <c r="C22" i="2"/>
  <c r="K21" i="2"/>
  <c r="H21" i="2"/>
  <c r="G21" i="2"/>
  <c r="D20" i="2"/>
  <c r="D19" i="2"/>
  <c r="K18" i="2"/>
  <c r="H18" i="2"/>
  <c r="G18" i="2"/>
  <c r="AE15" i="2"/>
  <c r="AD15" i="2"/>
  <c r="AC15" i="2"/>
  <c r="G15" i="2"/>
  <c r="C15" i="2"/>
  <c r="AE5" i="2"/>
  <c r="AE19" i="2" s="1"/>
  <c r="AD5" i="2"/>
  <c r="AD19" i="2" s="1"/>
  <c r="AC5" i="2"/>
  <c r="AC19" i="2" s="1"/>
  <c r="G5" i="2"/>
  <c r="G19" i="2" s="1"/>
  <c r="C5" i="2"/>
  <c r="C19" i="2" s="1"/>
  <c r="F3" i="1"/>
  <c r="W19" i="2" l="1"/>
  <c r="AG9" i="2"/>
  <c r="AG12" i="2" s="1"/>
  <c r="AG14" i="2" s="1"/>
  <c r="AG16" i="2" s="1"/>
  <c r="AK3" i="2"/>
  <c r="AK7" i="2" s="1"/>
  <c r="AJ7" i="2"/>
  <c r="AR6" i="2"/>
  <c r="AR21" i="2" s="1"/>
  <c r="AI5" i="2"/>
  <c r="AQ23" i="2"/>
  <c r="AR8" i="2"/>
  <c r="AJ5" i="2"/>
  <c r="U9" i="2"/>
  <c r="U12" i="2" s="1"/>
  <c r="U14" i="2" s="1"/>
  <c r="U16" i="2" s="1"/>
  <c r="W22" i="2"/>
  <c r="AI7" i="2"/>
  <c r="AK5" i="2"/>
  <c r="V20" i="2"/>
  <c r="W20" i="2"/>
  <c r="W14" i="2"/>
  <c r="W24" i="2"/>
  <c r="V24" i="2"/>
  <c r="V14" i="2"/>
  <c r="L20" i="2"/>
  <c r="L12" i="2"/>
  <c r="M12" i="2"/>
  <c r="M20" i="2"/>
  <c r="Q14" i="2"/>
  <c r="Q24" i="2"/>
  <c r="N12" i="2"/>
  <c r="N20" i="2"/>
  <c r="R12" i="2"/>
  <c r="R20" i="2"/>
  <c r="O24" i="2"/>
  <c r="O14" i="2"/>
  <c r="S14" i="2"/>
  <c r="S24" i="2"/>
  <c r="P14" i="2"/>
  <c r="P24" i="2"/>
  <c r="T24" i="2"/>
  <c r="AD9" i="2"/>
  <c r="AD20" i="2" s="1"/>
  <c r="AE9" i="2"/>
  <c r="AE12" i="2" s="1"/>
  <c r="AE14" i="2" s="1"/>
  <c r="AE16" i="2" s="1"/>
  <c r="C9" i="2"/>
  <c r="C20" i="2" s="1"/>
  <c r="G9" i="2"/>
  <c r="G12" i="2" s="1"/>
  <c r="G14" i="2" s="1"/>
  <c r="D9" i="1"/>
  <c r="AC9" i="2"/>
  <c r="I9" i="2"/>
  <c r="I12" i="2" s="1"/>
  <c r="K9" i="2"/>
  <c r="K20" i="2" s="1"/>
  <c r="K19" i="2"/>
  <c r="J19" i="2"/>
  <c r="AG22" i="2"/>
  <c r="AG18" i="2"/>
  <c r="AG19" i="2"/>
  <c r="AG23" i="2"/>
  <c r="AG21" i="2"/>
  <c r="AF4" i="2"/>
  <c r="AF5" i="2" s="1"/>
  <c r="J9" i="2"/>
  <c r="J20" i="2" s="1"/>
  <c r="I19" i="2"/>
  <c r="I22" i="2"/>
  <c r="J22" i="2"/>
  <c r="AF7" i="2"/>
  <c r="H22" i="2"/>
  <c r="H12" i="2"/>
  <c r="AF23" i="2"/>
  <c r="AF21" i="2"/>
  <c r="H19" i="2"/>
  <c r="AF18" i="2"/>
  <c r="AS6" i="2" l="1"/>
  <c r="AS21" i="2" s="1"/>
  <c r="AI9" i="2"/>
  <c r="AI12" i="2" s="1"/>
  <c r="AI14" i="2" s="1"/>
  <c r="AI16" i="2" s="1"/>
  <c r="AL3" i="2"/>
  <c r="AS8" i="2"/>
  <c r="AS23" i="2" s="1"/>
  <c r="AR23" i="2"/>
  <c r="U25" i="2"/>
  <c r="U24" i="2"/>
  <c r="U20" i="2"/>
  <c r="W16" i="2"/>
  <c r="W25" i="2"/>
  <c r="V16" i="2"/>
  <c r="V25" i="2"/>
  <c r="L14" i="2"/>
  <c r="L24" i="2"/>
  <c r="M24" i="2"/>
  <c r="M14" i="2"/>
  <c r="Q16" i="2"/>
  <c r="Q25" i="2"/>
  <c r="N24" i="2"/>
  <c r="N14" i="2"/>
  <c r="R24" i="2"/>
  <c r="R14" i="2"/>
  <c r="O25" i="2"/>
  <c r="O16" i="2"/>
  <c r="S16" i="2"/>
  <c r="S25" i="2"/>
  <c r="P25" i="2"/>
  <c r="P16" i="2"/>
  <c r="T25" i="2"/>
  <c r="AE25" i="2"/>
  <c r="AE20" i="2"/>
  <c r="AE24" i="2"/>
  <c r="AD12" i="2"/>
  <c r="AD14" i="2" s="1"/>
  <c r="C12" i="2"/>
  <c r="C24" i="2" s="1"/>
  <c r="G16" i="2"/>
  <c r="G25" i="2"/>
  <c r="G20" i="2"/>
  <c r="G24" i="2"/>
  <c r="AH23" i="2"/>
  <c r="AC12" i="2"/>
  <c r="AC20" i="2"/>
  <c r="I20" i="2"/>
  <c r="K12" i="2"/>
  <c r="K24" i="2" s="1"/>
  <c r="AI23" i="2"/>
  <c r="AI21" i="2"/>
  <c r="AH21" i="2"/>
  <c r="AH22" i="2"/>
  <c r="AH18" i="2"/>
  <c r="AJ21" i="2"/>
  <c r="J12" i="2"/>
  <c r="J14" i="2" s="1"/>
  <c r="AF9" i="2"/>
  <c r="AF12" i="2" s="1"/>
  <c r="AF24" i="2" s="1"/>
  <c r="AF22" i="2"/>
  <c r="I24" i="2"/>
  <c r="I14" i="2"/>
  <c r="H24" i="2"/>
  <c r="H14" i="2"/>
  <c r="AM3" i="2" l="1"/>
  <c r="AN3" i="2" s="1"/>
  <c r="AO3" i="2" s="1"/>
  <c r="AP3" i="2" s="1"/>
  <c r="AQ3" i="2" s="1"/>
  <c r="AR3" i="2" s="1"/>
  <c r="AS3" i="2" s="1"/>
  <c r="AL7" i="2"/>
  <c r="AL5" i="2"/>
  <c r="L16" i="2"/>
  <c r="L25" i="2"/>
  <c r="M25" i="2"/>
  <c r="M16" i="2"/>
  <c r="N16" i="2"/>
  <c r="N25" i="2"/>
  <c r="R16" i="2"/>
  <c r="R25" i="2"/>
  <c r="AJ23" i="2"/>
  <c r="C14" i="2"/>
  <c r="C16" i="2" s="1"/>
  <c r="AD24" i="2"/>
  <c r="K14" i="2"/>
  <c r="K16" i="2" s="1"/>
  <c r="AD16" i="2"/>
  <c r="AD25" i="2"/>
  <c r="AC14" i="2"/>
  <c r="AC24" i="2"/>
  <c r="J16" i="2"/>
  <c r="J25" i="2"/>
  <c r="I16" i="2"/>
  <c r="I25" i="2"/>
  <c r="H16" i="2"/>
  <c r="H25" i="2"/>
  <c r="AG20" i="2"/>
  <c r="AI22" i="2"/>
  <c r="AI18" i="2"/>
  <c r="AH19" i="2"/>
  <c r="AK23" i="2"/>
  <c r="AK21" i="2"/>
  <c r="J24" i="2"/>
  <c r="AF20" i="2"/>
  <c r="AF14" i="2"/>
  <c r="AF19" i="2"/>
  <c r="AM5" i="2" l="1"/>
  <c r="AM7" i="2"/>
  <c r="AN5" i="2"/>
  <c r="C25" i="2"/>
  <c r="K25" i="2"/>
  <c r="AC16" i="2"/>
  <c r="AC25" i="2"/>
  <c r="AF16" i="2"/>
  <c r="AF25" i="2"/>
  <c r="AJ4" i="2"/>
  <c r="AJ22" i="2"/>
  <c r="AJ18" i="2"/>
  <c r="AH20" i="2"/>
  <c r="AI19" i="2"/>
  <c r="AG24" i="2"/>
  <c r="AL23" i="2"/>
  <c r="AL21" i="2"/>
  <c r="AN7" i="2" l="1"/>
  <c r="AH24" i="2"/>
  <c r="AI20" i="2"/>
  <c r="AJ9" i="2"/>
  <c r="AJ19" i="2"/>
  <c r="AK22" i="2"/>
  <c r="AK18" i="2"/>
  <c r="AM23" i="2"/>
  <c r="AM21" i="2"/>
  <c r="AO7" i="2" l="1"/>
  <c r="AO5" i="2"/>
  <c r="AP5" i="2"/>
  <c r="AG25" i="2"/>
  <c r="AJ12" i="2"/>
  <c r="AJ20" i="2"/>
  <c r="AI24" i="2"/>
  <c r="AK9" i="2"/>
  <c r="AK19" i="2"/>
  <c r="AL22" i="2"/>
  <c r="AL18" i="2"/>
  <c r="AK4" i="2"/>
  <c r="AN23" i="2"/>
  <c r="AN21" i="2"/>
  <c r="AP7" i="2" l="1"/>
  <c r="AQ5" i="2"/>
  <c r="AQ18" i="2"/>
  <c r="AH25" i="2"/>
  <c r="AK12" i="2"/>
  <c r="AK20" i="2"/>
  <c r="AL9" i="2"/>
  <c r="AL19" i="2"/>
  <c r="AL4" i="2"/>
  <c r="AM4" i="2"/>
  <c r="AM22" i="2"/>
  <c r="AM18" i="2"/>
  <c r="AJ24" i="2"/>
  <c r="AP23" i="2"/>
  <c r="AO23" i="2"/>
  <c r="AP21" i="2"/>
  <c r="AO21" i="2"/>
  <c r="AQ7" i="2" l="1"/>
  <c r="AQ22" i="2" s="1"/>
  <c r="AR5" i="2"/>
  <c r="AR4" i="2" s="1"/>
  <c r="AQ4" i="2"/>
  <c r="AQ19" i="2"/>
  <c r="AI25" i="2"/>
  <c r="AJ14" i="2"/>
  <c r="AN22" i="2"/>
  <c r="AN4" i="2"/>
  <c r="AN18" i="2"/>
  <c r="AM9" i="2"/>
  <c r="AM19" i="2"/>
  <c r="AL12" i="2"/>
  <c r="AL20" i="2"/>
  <c r="AK14" i="2"/>
  <c r="AK24" i="2"/>
  <c r="AR18" i="2" l="1"/>
  <c r="AQ9" i="2"/>
  <c r="AQ20" i="2" s="1"/>
  <c r="AR7" i="2"/>
  <c r="AR22" i="2" s="1"/>
  <c r="AS7" i="2"/>
  <c r="AS22" i="2" s="1"/>
  <c r="AS18" i="2"/>
  <c r="AR19" i="2"/>
  <c r="AK16" i="2"/>
  <c r="AK25" i="2"/>
  <c r="AJ16" i="2"/>
  <c r="AJ25" i="2"/>
  <c r="AL24" i="2"/>
  <c r="AM12" i="2"/>
  <c r="AM20" i="2"/>
  <c r="AN9" i="2"/>
  <c r="AN19" i="2"/>
  <c r="AO22" i="2"/>
  <c r="AO18" i="2"/>
  <c r="AQ12" i="2" l="1"/>
  <c r="AQ14" i="2" s="1"/>
  <c r="AS5" i="2"/>
  <c r="AS4" i="2" s="1"/>
  <c r="AR9" i="2"/>
  <c r="AR12" i="2" s="1"/>
  <c r="AL14" i="2"/>
  <c r="AO9" i="2"/>
  <c r="AO19" i="2"/>
  <c r="AP22" i="2"/>
  <c r="AP4" i="2"/>
  <c r="AP18" i="2"/>
  <c r="AM24" i="2"/>
  <c r="AN12" i="2"/>
  <c r="AN20" i="2"/>
  <c r="AO4" i="2"/>
  <c r="AQ24" i="2" l="1"/>
  <c r="AR20" i="2"/>
  <c r="AS9" i="2"/>
  <c r="AS12" i="2" s="1"/>
  <c r="AS19" i="2"/>
  <c r="AR14" i="2"/>
  <c r="AR24" i="2"/>
  <c r="AQ16" i="2"/>
  <c r="AQ25" i="2"/>
  <c r="AM14" i="2"/>
  <c r="AL16" i="2"/>
  <c r="AL25" i="2"/>
  <c r="AP9" i="2"/>
  <c r="AP19" i="2"/>
  <c r="AN24" i="2"/>
  <c r="AO12" i="2"/>
  <c r="AO20" i="2"/>
  <c r="AS20" i="2" l="1"/>
  <c r="AR16" i="2"/>
  <c r="AR25" i="2"/>
  <c r="AS14" i="2"/>
  <c r="AS24" i="2"/>
  <c r="AM16" i="2"/>
  <c r="AM25" i="2"/>
  <c r="AN14" i="2"/>
  <c r="AO24" i="2"/>
  <c r="AP12" i="2"/>
  <c r="AP20" i="2"/>
  <c r="AS16" i="2" l="1"/>
  <c r="AS25" i="2"/>
  <c r="AN16" i="2"/>
  <c r="AN25" i="2"/>
  <c r="AO14" i="2"/>
  <c r="AP24" i="2"/>
  <c r="AO16" i="2" l="1"/>
  <c r="AO25" i="2"/>
  <c r="AP14" i="2"/>
  <c r="AP25" i="2" s="1"/>
  <c r="AP16" i="2" l="1"/>
  <c r="AT14" i="2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DN14" i="2" s="1"/>
  <c r="DO14" i="2" s="1"/>
  <c r="DP14" i="2" s="1"/>
  <c r="DQ14" i="2" s="1"/>
  <c r="DR14" i="2" s="1"/>
  <c r="DS14" i="2" s="1"/>
  <c r="DT14" i="2" s="1"/>
  <c r="DU14" i="2" s="1"/>
  <c r="DV14" i="2" s="1"/>
  <c r="DW14" i="2" s="1"/>
  <c r="DX14" i="2" s="1"/>
  <c r="DY14" i="2" s="1"/>
  <c r="DZ14" i="2" s="1"/>
  <c r="EA14" i="2" s="1"/>
  <c r="EB14" i="2" s="1"/>
  <c r="EC14" i="2" s="1"/>
  <c r="ED14" i="2" s="1"/>
  <c r="EE14" i="2" s="1"/>
  <c r="EF14" i="2" s="1"/>
  <c r="EG14" i="2" s="1"/>
  <c r="EH14" i="2" s="1"/>
  <c r="EI14" i="2" s="1"/>
  <c r="EJ14" i="2" s="1"/>
  <c r="EK14" i="2" s="1"/>
  <c r="EL14" i="2" s="1"/>
  <c r="EM14" i="2" s="1"/>
  <c r="EN14" i="2" s="1"/>
  <c r="EO14" i="2" s="1"/>
  <c r="EP14" i="2" s="1"/>
  <c r="EQ14" i="2" s="1"/>
  <c r="ER14" i="2" s="1"/>
  <c r="ES14" i="2" s="1"/>
  <c r="ET14" i="2" s="1"/>
  <c r="EU14" i="2" s="1"/>
  <c r="EV14" i="2" s="1"/>
  <c r="EW14" i="2" s="1"/>
  <c r="EX14" i="2" s="1"/>
  <c r="EY14" i="2" s="1"/>
  <c r="EZ14" i="2" s="1"/>
  <c r="FA14" i="2" s="1"/>
  <c r="AW22" i="2" s="1"/>
  <c r="AW24" i="2" l="1"/>
  <c r="AW25" i="2" s="1"/>
  <c r="AW27" i="2" s="1"/>
</calcChain>
</file>

<file path=xl/sharedStrings.xml><?xml version="1.0" encoding="utf-8"?>
<sst xmlns="http://schemas.openxmlformats.org/spreadsheetml/2006/main" count="71" uniqueCount="66">
  <si>
    <t>SKLZ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</si>
  <si>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</si>
  <si>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</si>
  <si>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</si>
  <si>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</si>
  <si>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</si>
  <si>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</si>
  <si>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</si>
  <si>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</si>
  <si>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</si>
  <si>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Earnings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</si>
  <si>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</si>
  <si>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</si>
  <si>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</si>
  <si>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</si>
  <si>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</si>
  <si>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</si>
  <si>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</si>
  <si>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</si>
  <si>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</si>
  <si>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Revenue</t>
  </si>
  <si>
    <t>Cost of sales</t>
  </si>
  <si>
    <t>Gross profit</t>
  </si>
  <si>
    <t>R&amp;D</t>
  </si>
  <si>
    <t>S&amp;M</t>
  </si>
  <si>
    <t>G&amp;A</t>
  </si>
  <si>
    <t>Operating profit</t>
  </si>
  <si>
    <t>Net interest expense</t>
  </si>
  <si>
    <t>Other income</t>
  </si>
  <si>
    <t>Pretax profit</t>
  </si>
  <si>
    <t>Taxes</t>
  </si>
  <si>
    <t>Net profit</t>
  </si>
  <si>
    <t>EPS</t>
  </si>
  <si>
    <t>Revenue y/y</t>
  </si>
  <si>
    <t>Gross Margin</t>
  </si>
  <si>
    <t>Operating Margin</t>
  </si>
  <si>
    <t>R&amp;D y/y</t>
  </si>
  <si>
    <t>S&amp;M Margin</t>
  </si>
  <si>
    <t>G&amp;A y/y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</si>
  <si>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</si>
  <si>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</si>
  <si>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</si>
  <si>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</si>
  <si>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</si>
  <si>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</si>
  <si>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</si>
  <si>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</si>
  <si>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</si>
  <si>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Net Margin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</si>
  <si>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</si>
  <si>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</si>
  <si>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</si>
  <si>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</si>
  <si>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</si>
  <si>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</si>
  <si>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</si>
  <si>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</si>
  <si>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</si>
  <si>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</si>
  <si>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</si>
  <si>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</si>
  <si>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</si>
  <si>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</si>
  <si>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</si>
  <si>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Q425</t>
  </si>
  <si>
    <t>Heavily overvalued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</si>
</sst>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1" fillId="0" borderId="0" xfId="0" applyNumberFormat="1" applyFont="1"/>
    <xf numFmtId="3" fontId="0" fillId="0" borderId="0" xfId="0" applyNumberFormat="1"/>
    <xf numFmtId="4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22860</xdr:colOff>
      <xdr:row>0</xdr:row>
      <xdr:rowOff>0</xdr:rowOff>
    </xdr:from>
    <xdr:to>
      <xdr:col>23</xdr:col>
      <xdr:colOff>22860</xdr:colOff>
      <xdr:row>33</xdr:row>
      <xdr:rowOff>68580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5D91E4-138F-4207-9325-804567199233}"/>
            </a:ext>
          </a:extLst>
        </xdr:cNvPr>
        <xdr:cNvCxnSpPr/>
      </xdr:nvCxnSpPr>
      <xdr:spPr>
        <a:xfrm>
          <a:off x="14668500" y="0"/>
          <a:ext cx="0" cy="6103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22860</xdr:colOff>
      <xdr:row>0</xdr:row>
      <xdr:rowOff>0</xdr:rowOff>
    </xdr:from>
    <xdr:to>
      <xdr:col>34</xdr:col>
      <xdr:colOff>22860</xdr:colOff>
      <xdr:row>33</xdr:row>
      <xdr:rowOff>83820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AA1F462-A26B-4F9E-A53C-9891F9694E39}"/>
            </a:ext>
          </a:extLst>
        </xdr:cNvPr>
        <xdr:cNvCxnSpPr/>
      </xdr:nvCxnSpPr>
      <xdr:spPr>
        <a:xfrm>
          <a:off x="18935700" y="0"/>
          <a:ext cx="0" cy="6118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C3C6-7D57-4AD3-83E3-CA98FA2A5922}">
  <dimension ref="B2:G9"/>
  <sheetViews>
    <sheetView workbookViewId="0">
      <selection activeCell="D4" sqref="D4"/>
    </sheetView>
  </sheetViews>
  <sheetFormatPr defaultRowHeight="14.4" x14ac:dyDescent="0.3"/>
  <cols>
    <col min="5" max="7" width="15.77734375" style="2" customWidth="1"/>
  </cols>
  <sheetData>
    <row r="2" spans="2:7" x14ac:dyDescent="0.3">
      <c r="E2" s="2" t="s">
        <v>8</v>
      </c>
      <c r="F2" s="2" t="s">
        <v>9</v>
      </c>
      <c r="G2" s="2" t="s">
        <v>10</v>
      </c>
    </row>
    <row r="3" spans="2:7" x14ac:dyDescent="0.3">
      <c r="B3" s="1" t="s">
        <v>0</v>
      </c>
      <c r="C3" t="s">
        <v>1</v>
      </c>
      <c r="D3" s="10">
        <v>4.07</v>
      </c>
      <c r="E3" s="3">
        <v>45751</v>
      </c>
      <c r="F3" s="3">
        <f ca="1">TODAY()</f>
        <v>45751</v>
      </c>
      <c r="G3" s="3">
        <v>45777</v>
      </c>
    </row>
    <row r="4" spans="2:7" x14ac:dyDescent="0.3">
      <c r="C4" t="s">
        <v>2</v>
      </c>
      <c r="D4" s="6">
        <v>17.600000000000001</v>
      </c>
      <c r="E4" s="2" t="s">
        <v>60</v>
      </c>
    </row>
    <row r="5" spans="2:7" x14ac:dyDescent="0.3">
      <c r="C5" t="s">
        <v>3</v>
      </c>
      <c r="D5" s="6">
        <f>D3*D4</f>
        <v>71.632000000000005</v>
      </c>
    </row>
    <row r="6" spans="2:7" x14ac:dyDescent="0.3">
      <c r="C6" t="s">
        <v>4</v>
      </c>
      <c r="D6" s="6">
        <f>301.4+10+52.8</f>
        <v>364.2</v>
      </c>
      <c r="E6" s="2" t="s">
        <v>59</v>
      </c>
    </row>
    <row r="7" spans="2:7" x14ac:dyDescent="0.3">
      <c r="C7" t="s">
        <v>5</v>
      </c>
      <c r="D7" s="6">
        <f>125.2</f>
        <v>125.2</v>
      </c>
      <c r="E7" s="2" t="s">
        <v>59</v>
      </c>
    </row>
    <row r="8" spans="2:7" x14ac:dyDescent="0.3">
      <c r="C8" t="s">
        <v>6</v>
      </c>
      <c r="D8" s="6">
        <f>D6-D7</f>
        <v>239</v>
      </c>
    </row>
    <row r="9" spans="2:7" x14ac:dyDescent="0.3">
      <c r="C9" t="s">
        <v>7</v>
      </c>
      <c r="D9" s="6">
        <f>D5-D8</f>
        <v>-167.36799999999999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E347-257C-47D2-891A-065BC88B4C93}">
  <dimension ref="A2:FA28"/>
  <sheetViews>
    <sheetView tabSelected="1" workbookViewId="0">
      <pane xSplit="2" ySplit="2" topLeftCell="AM3" activePane="bottomRight" state="frozen"/>
      <selection pane="topRight" activeCell="C1" sqref="C1"/>
      <selection pane="bottomLeft" activeCell="A3" sqref="A3"/>
      <selection pane="bottomRight" activeCell="AW21" sqref="AW21"/>
    </sheetView>
  </sheetViews>
  <sheetFormatPr defaultRowHeight="14.4" x14ac:dyDescent="0.3"/>
  <cols>
    <col min="2" max="2" width="18" bestFit="1" customWidth="1"/>
    <col min="44" max="45" width="8.88671875" customWidth="1"/>
    <col min="48" max="48" width="11.88671875" bestFit="1" customWidth="1"/>
    <col min="49" max="49" width="17.33203125" bestFit="1" customWidth="1"/>
  </cols>
  <sheetData>
    <row r="2" spans="1:157" x14ac:dyDescent="0.3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49</v>
      </c>
      <c r="M2" s="4" t="s">
        <v>50</v>
      </c>
      <c r="N2" s="4" t="s">
        <v>51</v>
      </c>
      <c r="O2" s="4" t="s">
        <v>52</v>
      </c>
      <c r="P2" s="4" t="s">
        <v>53</v>
      </c>
      <c r="Q2" s="4" t="s">
        <v>54</v>
      </c>
      <c r="R2" s="4" t="s">
        <v>55</v>
      </c>
      <c r="S2" s="4" t="s">
        <v>56</v>
      </c>
      <c r="T2" s="4" t="s">
        <v>57</v>
      </c>
      <c r="U2" s="4" t="s">
        <v>58</v>
      </c>
      <c r="V2" s="4" t="s">
        <v>59</v>
      </c>
      <c r="W2" s="4" t="s">
        <v>60</v>
      </c>
      <c r="X2" s="4" t="s">
        <v>61</v>
      </c>
      <c r="Y2" s="4" t="s">
        <v>62</v>
      </c>
      <c r="Z2" s="4" t="s">
        <v>63</v>
      </c>
      <c r="AA2" s="4" t="s">
        <v>64</v>
      </c>
      <c r="AC2">
        <v>2018</v>
      </c>
      <c r="AD2">
        <v>2019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</row>
    <row r="3" spans="1:157" x14ac:dyDescent="0.3">
      <c r="A3" s="1"/>
      <c r="B3" s="1" t="s">
        <v>20</v>
      </c>
      <c r="C3" s="5">
        <v>34.700000000000003</v>
      </c>
      <c r="D3" s="5">
        <v>43.6</v>
      </c>
      <c r="E3" s="5"/>
      <c r="F3" s="5"/>
      <c r="G3" s="5">
        <v>67.7</v>
      </c>
      <c r="H3" s="5">
        <v>83.7</v>
      </c>
      <c r="I3" s="5">
        <v>95</v>
      </c>
      <c r="J3" s="5">
        <v>105</v>
      </c>
      <c r="K3" s="5">
        <v>120</v>
      </c>
      <c r="L3" s="5">
        <v>91.9</v>
      </c>
      <c r="M3" s="5">
        <v>71.8</v>
      </c>
      <c r="N3" s="5">
        <v>59.1</v>
      </c>
      <c r="O3" s="5">
        <v>46.9</v>
      </c>
      <c r="P3" s="5">
        <v>44.4</v>
      </c>
      <c r="Q3" s="5">
        <v>40.200000000000003</v>
      </c>
      <c r="R3" s="5">
        <v>36.4</v>
      </c>
      <c r="S3" s="5">
        <v>31.1</v>
      </c>
      <c r="T3" s="5">
        <v>25.2</v>
      </c>
      <c r="U3" s="5">
        <v>25.3</v>
      </c>
      <c r="V3" s="5">
        <v>24.6</v>
      </c>
      <c r="W3" s="5">
        <v>20.399999999999999</v>
      </c>
      <c r="X3" s="5"/>
      <c r="Y3" s="5"/>
      <c r="Z3" s="5"/>
      <c r="AA3" s="5"/>
      <c r="AB3" s="1"/>
      <c r="AC3" s="5">
        <v>50.8</v>
      </c>
      <c r="AD3" s="5">
        <v>119.9</v>
      </c>
      <c r="AE3" s="5">
        <v>230.1</v>
      </c>
      <c r="AF3" s="5">
        <f>SUM(H3:K3)</f>
        <v>403.7</v>
      </c>
      <c r="AG3" s="5">
        <f>SUM(L3:O3)</f>
        <v>269.7</v>
      </c>
      <c r="AH3" s="5">
        <f>SUM(P3:S3)</f>
        <v>152.1</v>
      </c>
      <c r="AI3" s="5">
        <f>SUM(T3:W3)</f>
        <v>95.5</v>
      </c>
      <c r="AJ3" s="5">
        <f>AI3*0.85</f>
        <v>81.174999999999997</v>
      </c>
      <c r="AK3" s="5">
        <f>AJ3*1.03</f>
        <v>83.610249999999994</v>
      </c>
      <c r="AL3" s="5">
        <f>AK3*1.05</f>
        <v>87.7907625</v>
      </c>
      <c r="AM3" s="5">
        <f t="shared" ref="AM3:AS3" si="0">AL3*1.05</f>
        <v>92.180300625000001</v>
      </c>
      <c r="AN3" s="5">
        <f t="shared" si="0"/>
        <v>96.789315656250011</v>
      </c>
      <c r="AO3" s="5">
        <f t="shared" si="0"/>
        <v>101.62878143906252</v>
      </c>
      <c r="AP3" s="5">
        <f t="shared" si="0"/>
        <v>106.71022051101565</v>
      </c>
      <c r="AQ3" s="5">
        <f t="shared" si="0"/>
        <v>112.04573153656644</v>
      </c>
      <c r="AR3" s="5">
        <f t="shared" si="0"/>
        <v>117.64801811339476</v>
      </c>
      <c r="AS3" s="5">
        <f t="shared" si="0"/>
        <v>123.5304190190645</v>
      </c>
    </row>
    <row r="4" spans="1:157" x14ac:dyDescent="0.3">
      <c r="B4" t="s">
        <v>21</v>
      </c>
      <c r="C4" s="6">
        <v>1.9</v>
      </c>
      <c r="D4" s="6">
        <v>2.8</v>
      </c>
      <c r="E4" s="6"/>
      <c r="F4" s="6"/>
      <c r="G4" s="6">
        <v>3.5</v>
      </c>
      <c r="H4" s="6">
        <v>4.3</v>
      </c>
      <c r="I4" s="6">
        <f t="shared" ref="I4:K4" si="1">I3-I5</f>
        <v>4.75</v>
      </c>
      <c r="J4" s="6">
        <f t="shared" si="1"/>
        <v>5.25</v>
      </c>
      <c r="K4" s="6">
        <f t="shared" si="1"/>
        <v>6</v>
      </c>
      <c r="L4" s="6">
        <v>9.1999999999999993</v>
      </c>
      <c r="M4" s="6">
        <v>9</v>
      </c>
      <c r="N4" s="6">
        <v>7.6</v>
      </c>
      <c r="O4" s="6">
        <v>4.9000000000000004</v>
      </c>
      <c r="P4" s="6">
        <v>4.5999999999999996</v>
      </c>
      <c r="Q4" s="6">
        <v>3.7</v>
      </c>
      <c r="R4" s="6">
        <v>3.7</v>
      </c>
      <c r="S4" s="6">
        <v>3.5</v>
      </c>
      <c r="T4" s="6">
        <v>3.5</v>
      </c>
      <c r="U4" s="6">
        <v>3.3</v>
      </c>
      <c r="V4" s="6">
        <v>3.4</v>
      </c>
      <c r="W4" s="6">
        <v>3.2</v>
      </c>
      <c r="X4" s="6"/>
      <c r="Y4" s="6"/>
      <c r="Z4" s="6"/>
      <c r="AA4" s="6"/>
      <c r="AC4" s="6">
        <v>2.1</v>
      </c>
      <c r="AD4" s="6">
        <v>5.7</v>
      </c>
      <c r="AE4" s="6">
        <v>12.3</v>
      </c>
      <c r="AF4" s="6">
        <f>SUM(H4:K4)</f>
        <v>20.3</v>
      </c>
      <c r="AG4" s="6">
        <f>SUM(L4:O4)</f>
        <v>30.699999999999996</v>
      </c>
      <c r="AH4" s="6">
        <f>SUM(P4:S4)</f>
        <v>15.5</v>
      </c>
      <c r="AI4" s="6">
        <f>SUM(T4:W4)</f>
        <v>13.399999999999999</v>
      </c>
      <c r="AJ4" s="6">
        <f t="shared" ref="AJ4:AS4" si="2">AJ3-AJ5</f>
        <v>9.7409999999999997</v>
      </c>
      <c r="AK4" s="6">
        <f t="shared" si="2"/>
        <v>10.033230000000003</v>
      </c>
      <c r="AL4" s="6">
        <f t="shared" si="2"/>
        <v>10.534891500000001</v>
      </c>
      <c r="AM4" s="6">
        <f t="shared" si="2"/>
        <v>11.061636074999996</v>
      </c>
      <c r="AN4" s="6">
        <f t="shared" si="2"/>
        <v>11.61471787875</v>
      </c>
      <c r="AO4" s="6">
        <f t="shared" si="2"/>
        <v>12.1954537726875</v>
      </c>
      <c r="AP4" s="6">
        <f t="shared" si="2"/>
        <v>12.80522646132188</v>
      </c>
      <c r="AQ4" s="6">
        <f t="shared" si="2"/>
        <v>13.445487784387979</v>
      </c>
      <c r="AR4" s="6">
        <f t="shared" si="2"/>
        <v>14.117762173607375</v>
      </c>
      <c r="AS4" s="6">
        <f t="shared" si="2"/>
        <v>14.823650282287744</v>
      </c>
    </row>
    <row r="5" spans="1:157" x14ac:dyDescent="0.3">
      <c r="A5" s="1"/>
      <c r="B5" s="1" t="s">
        <v>22</v>
      </c>
      <c r="C5" s="5">
        <f>C3-C4</f>
        <v>32.800000000000004</v>
      </c>
      <c r="D5" s="5">
        <f>D3-D4</f>
        <v>40.800000000000004</v>
      </c>
      <c r="E5" s="5"/>
      <c r="F5" s="5"/>
      <c r="G5" s="5">
        <f>G3-G4</f>
        <v>64.2</v>
      </c>
      <c r="H5" s="5">
        <f>H3-H4</f>
        <v>79.400000000000006</v>
      </c>
      <c r="I5" s="5">
        <f t="shared" ref="I5:K5" si="3">I3*0.95</f>
        <v>90.25</v>
      </c>
      <c r="J5" s="5">
        <f t="shared" si="3"/>
        <v>99.75</v>
      </c>
      <c r="K5" s="5">
        <f t="shared" si="3"/>
        <v>114</v>
      </c>
      <c r="L5" s="5">
        <f t="shared" ref="L5:W5" si="4">L3-L4</f>
        <v>82.7</v>
      </c>
      <c r="M5" s="5">
        <f t="shared" si="4"/>
        <v>62.8</v>
      </c>
      <c r="N5" s="5">
        <f t="shared" si="4"/>
        <v>51.5</v>
      </c>
      <c r="O5" s="5">
        <f t="shared" si="4"/>
        <v>42</v>
      </c>
      <c r="P5" s="5">
        <f t="shared" si="4"/>
        <v>39.799999999999997</v>
      </c>
      <c r="Q5" s="5">
        <f t="shared" si="4"/>
        <v>36.5</v>
      </c>
      <c r="R5" s="5">
        <f t="shared" si="4"/>
        <v>32.699999999999996</v>
      </c>
      <c r="S5" s="5">
        <f t="shared" si="4"/>
        <v>27.6</v>
      </c>
      <c r="T5" s="5">
        <f t="shared" si="4"/>
        <v>21.7</v>
      </c>
      <c r="U5" s="5">
        <f t="shared" si="4"/>
        <v>22</v>
      </c>
      <c r="V5" s="5">
        <f t="shared" si="4"/>
        <v>21.200000000000003</v>
      </c>
      <c r="W5" s="5">
        <f t="shared" si="4"/>
        <v>17.2</v>
      </c>
      <c r="X5" s="5"/>
      <c r="Y5" s="5"/>
      <c r="Z5" s="5"/>
      <c r="AA5" s="5"/>
      <c r="AB5" s="1"/>
      <c r="AC5" s="5">
        <f t="shared" ref="AC5:AI5" si="5">AC3-AC4</f>
        <v>48.699999999999996</v>
      </c>
      <c r="AD5" s="5">
        <f t="shared" si="5"/>
        <v>114.2</v>
      </c>
      <c r="AE5" s="5">
        <f t="shared" si="5"/>
        <v>217.79999999999998</v>
      </c>
      <c r="AF5" s="5">
        <f t="shared" si="5"/>
        <v>383.4</v>
      </c>
      <c r="AG5" s="5">
        <f t="shared" si="5"/>
        <v>239</v>
      </c>
      <c r="AH5" s="5">
        <f t="shared" si="5"/>
        <v>136.6</v>
      </c>
      <c r="AI5" s="5">
        <f t="shared" si="5"/>
        <v>82.1</v>
      </c>
      <c r="AJ5" s="5">
        <f>AJ3*0.88</f>
        <v>71.433999999999997</v>
      </c>
      <c r="AK5" s="5">
        <f t="shared" ref="AK5:AS5" si="6">AK3*0.88</f>
        <v>73.57701999999999</v>
      </c>
      <c r="AL5" s="5">
        <f t="shared" si="6"/>
        <v>77.255870999999999</v>
      </c>
      <c r="AM5" s="5">
        <f t="shared" si="6"/>
        <v>81.118664550000005</v>
      </c>
      <c r="AN5" s="5">
        <f t="shared" si="6"/>
        <v>85.174597777500011</v>
      </c>
      <c r="AO5" s="5">
        <f t="shared" si="6"/>
        <v>89.433327666375021</v>
      </c>
      <c r="AP5" s="5">
        <f t="shared" si="6"/>
        <v>93.904994049693769</v>
      </c>
      <c r="AQ5" s="5">
        <f t="shared" si="6"/>
        <v>98.600243752178457</v>
      </c>
      <c r="AR5" s="5">
        <f t="shared" si="6"/>
        <v>103.53025593978738</v>
      </c>
      <c r="AS5" s="5">
        <f t="shared" si="6"/>
        <v>108.70676873677675</v>
      </c>
    </row>
    <row r="6" spans="1:157" x14ac:dyDescent="0.3">
      <c r="B6" t="s">
        <v>23</v>
      </c>
      <c r="C6" s="6">
        <v>3.4</v>
      </c>
      <c r="D6" s="6">
        <v>4.4000000000000004</v>
      </c>
      <c r="E6" s="6"/>
      <c r="F6" s="6"/>
      <c r="G6" s="6">
        <v>10</v>
      </c>
      <c r="H6" s="6">
        <v>7.3</v>
      </c>
      <c r="I6" s="6">
        <v>9</v>
      </c>
      <c r="J6" s="6">
        <v>11</v>
      </c>
      <c r="K6" s="6">
        <v>16</v>
      </c>
      <c r="L6" s="6">
        <v>18.7</v>
      </c>
      <c r="M6" s="6">
        <v>18.3</v>
      </c>
      <c r="N6" s="6">
        <v>7.9</v>
      </c>
      <c r="O6" s="6">
        <v>7.4</v>
      </c>
      <c r="P6" s="6">
        <v>8.9</v>
      </c>
      <c r="Q6" s="6">
        <v>9</v>
      </c>
      <c r="R6" s="6">
        <v>7.9</v>
      </c>
      <c r="S6" s="6">
        <v>3.4</v>
      </c>
      <c r="T6" s="6">
        <v>4.5999999999999996</v>
      </c>
      <c r="U6" s="6">
        <v>4.3</v>
      </c>
      <c r="V6" s="6">
        <v>4.7</v>
      </c>
      <c r="W6" s="6">
        <v>3.6</v>
      </c>
      <c r="X6" s="6"/>
      <c r="Y6" s="6"/>
      <c r="Z6" s="6"/>
      <c r="AA6" s="6"/>
      <c r="AC6" s="6">
        <v>7.5</v>
      </c>
      <c r="AD6" s="6">
        <v>11.2</v>
      </c>
      <c r="AE6" s="6">
        <v>23.2</v>
      </c>
      <c r="AF6" s="6">
        <f>SUM(H6:K6)</f>
        <v>43.3</v>
      </c>
      <c r="AG6" s="6">
        <f>SUM(L6:O6)</f>
        <v>52.3</v>
      </c>
      <c r="AH6" s="6">
        <f>SUM(P6:S6)</f>
        <v>29.199999999999996</v>
      </c>
      <c r="AI6" s="6">
        <f>SUM(T6:W6)</f>
        <v>17.2</v>
      </c>
      <c r="AJ6" s="6">
        <f>AI6*0.7</f>
        <v>12.04</v>
      </c>
      <c r="AK6" s="6">
        <f>AJ6*1.05</f>
        <v>12.641999999999999</v>
      </c>
      <c r="AL6" s="6">
        <f>AK6*1.02</f>
        <v>12.89484</v>
      </c>
      <c r="AM6" s="6">
        <f>AL6*1.02</f>
        <v>13.152736800000001</v>
      </c>
      <c r="AN6" s="6">
        <f t="shared" ref="AN6:AP6" si="7">AM6*1.02</f>
        <v>13.415791536000002</v>
      </c>
      <c r="AO6" s="6">
        <f t="shared" si="7"/>
        <v>13.684107366720003</v>
      </c>
      <c r="AP6" s="6">
        <f t="shared" si="7"/>
        <v>13.957789514054403</v>
      </c>
      <c r="AQ6" s="6">
        <f t="shared" ref="AQ6:AS6" si="8">AP6*1.02</f>
        <v>14.236945304335491</v>
      </c>
      <c r="AR6" s="6">
        <f t="shared" si="8"/>
        <v>14.521684210422201</v>
      </c>
      <c r="AS6" s="6">
        <f t="shared" si="8"/>
        <v>14.812117894630646</v>
      </c>
    </row>
    <row r="7" spans="1:157" x14ac:dyDescent="0.3">
      <c r="B7" t="s">
        <v>24</v>
      </c>
      <c r="C7" s="6">
        <v>33.4</v>
      </c>
      <c r="D7" s="6">
        <v>46.8</v>
      </c>
      <c r="E7" s="6"/>
      <c r="F7" s="6"/>
      <c r="G7" s="6">
        <v>79.599999999999994</v>
      </c>
      <c r="H7" s="6">
        <v>96.3</v>
      </c>
      <c r="I7" s="6">
        <f>I3*1.1</f>
        <v>104.50000000000001</v>
      </c>
      <c r="J7" s="6">
        <f>J3*1.05</f>
        <v>110.25</v>
      </c>
      <c r="K7" s="6">
        <f>K3*1</f>
        <v>120</v>
      </c>
      <c r="L7" s="6">
        <v>117.3</v>
      </c>
      <c r="M7" s="6">
        <v>73.7</v>
      </c>
      <c r="N7" s="6">
        <v>51.5</v>
      </c>
      <c r="O7" s="6">
        <v>34.5</v>
      </c>
      <c r="P7" s="6">
        <v>34.9</v>
      </c>
      <c r="Q7" s="6">
        <v>33.1</v>
      </c>
      <c r="R7" s="6">
        <v>31.9</v>
      </c>
      <c r="S7" s="6">
        <v>23.3</v>
      </c>
      <c r="T7" s="6">
        <v>21</v>
      </c>
      <c r="U7" s="6">
        <v>20.8</v>
      </c>
      <c r="V7" s="6">
        <v>19.3</v>
      </c>
      <c r="W7" s="6">
        <v>19.100000000000001</v>
      </c>
      <c r="X7" s="6"/>
      <c r="Y7" s="6"/>
      <c r="Z7" s="6"/>
      <c r="AA7" s="6"/>
      <c r="AC7" s="6">
        <v>51.7</v>
      </c>
      <c r="AD7" s="6">
        <v>111.4</v>
      </c>
      <c r="AE7" s="6">
        <v>251.9</v>
      </c>
      <c r="AF7" s="6">
        <f>SUM(H7:K7)</f>
        <v>431.05</v>
      </c>
      <c r="AG7" s="6">
        <f>SUM(L7:O7)</f>
        <v>277</v>
      </c>
      <c r="AH7" s="6">
        <f>SUM(P7:S7)</f>
        <v>123.2</v>
      </c>
      <c r="AI7" s="6">
        <f>SUM(T7:W7)</f>
        <v>80.199999999999989</v>
      </c>
      <c r="AJ7" s="6">
        <f>AJ3*0.7</f>
        <v>56.822499999999991</v>
      </c>
      <c r="AK7" s="6">
        <f>AK3*0.6</f>
        <v>50.166149999999995</v>
      </c>
      <c r="AL7" s="6">
        <f>AL3*0.5</f>
        <v>43.89538125</v>
      </c>
      <c r="AM7" s="6">
        <f>AM3*0.4</f>
        <v>36.872120250000002</v>
      </c>
      <c r="AN7" s="6">
        <f>AN3*0.37</f>
        <v>35.812046792812502</v>
      </c>
      <c r="AO7" s="6">
        <f>AO3*0.36</f>
        <v>36.586361318062508</v>
      </c>
      <c r="AP7" s="6">
        <f>AP3*0.35</f>
        <v>37.348577178855471</v>
      </c>
      <c r="AQ7" s="6">
        <f>AQ3*0.35</f>
        <v>39.216006037798252</v>
      </c>
      <c r="AR7" s="6">
        <f t="shared" ref="AR7:AS7" si="9">AR3*0.35</f>
        <v>41.176806339688163</v>
      </c>
      <c r="AS7" s="6">
        <f t="shared" si="9"/>
        <v>43.235646656672571</v>
      </c>
    </row>
    <row r="8" spans="1:157" x14ac:dyDescent="0.3">
      <c r="B8" t="s">
        <v>25</v>
      </c>
      <c r="C8" s="6">
        <v>4.4000000000000004</v>
      </c>
      <c r="D8" s="6">
        <v>4.8</v>
      </c>
      <c r="E8" s="6"/>
      <c r="F8" s="6"/>
      <c r="G8" s="6">
        <v>18</v>
      </c>
      <c r="H8" s="6">
        <v>27.3</v>
      </c>
      <c r="I8" s="6">
        <v>21</v>
      </c>
      <c r="J8" s="6">
        <v>22</v>
      </c>
      <c r="K8" s="6">
        <v>25</v>
      </c>
      <c r="L8" s="6">
        <f>92.8-65.5</f>
        <v>27.299999999999997</v>
      </c>
      <c r="M8" s="6">
        <v>26.9</v>
      </c>
      <c r="N8" s="6">
        <v>20.9</v>
      </c>
      <c r="O8" s="6">
        <v>22.5</v>
      </c>
      <c r="P8" s="6">
        <v>28.1</v>
      </c>
      <c r="Q8" s="6">
        <v>30.1</v>
      </c>
      <c r="R8" s="6">
        <v>24.4</v>
      </c>
      <c r="S8" s="6">
        <f>2.9+18.6</f>
        <v>21.5</v>
      </c>
      <c r="T8" s="6">
        <v>23</v>
      </c>
      <c r="U8" s="6">
        <v>17.2</v>
      </c>
      <c r="V8" s="6">
        <v>18.100000000000001</v>
      </c>
      <c r="W8" s="6">
        <v>20.5</v>
      </c>
      <c r="X8" s="6"/>
      <c r="Y8" s="6"/>
      <c r="Z8" s="6"/>
      <c r="AA8" s="6"/>
      <c r="AC8" s="6">
        <v>15</v>
      </c>
      <c r="AD8" s="6">
        <v>16.399999999999999</v>
      </c>
      <c r="AE8" s="6">
        <v>42.3</v>
      </c>
      <c r="AF8" s="6">
        <f>SUM(H8:K8)</f>
        <v>95.3</v>
      </c>
      <c r="AG8" s="6">
        <f>SUM(L8:O8)</f>
        <v>97.6</v>
      </c>
      <c r="AH8" s="6">
        <f>SUM(P8:S8)</f>
        <v>104.1</v>
      </c>
      <c r="AI8" s="6">
        <f>SUM(T8:W8)</f>
        <v>78.800000000000011</v>
      </c>
      <c r="AJ8" s="6">
        <f>AI8*0.8</f>
        <v>63.040000000000013</v>
      </c>
      <c r="AK8" s="6">
        <f>AJ8*0.85</f>
        <v>53.58400000000001</v>
      </c>
      <c r="AL8" s="6">
        <f>AK8*0.95</f>
        <v>50.904800000000009</v>
      </c>
      <c r="AM8" s="6">
        <f t="shared" ref="AM8:AP8" si="10">AL8*1.01</f>
        <v>51.413848000000009</v>
      </c>
      <c r="AN8" s="6">
        <f t="shared" si="10"/>
        <v>51.927986480000008</v>
      </c>
      <c r="AO8" s="6">
        <f t="shared" si="10"/>
        <v>52.447266344800006</v>
      </c>
      <c r="AP8" s="6">
        <f t="shared" si="10"/>
        <v>52.971739008248008</v>
      </c>
      <c r="AQ8" s="6">
        <f t="shared" ref="AQ8:AS8" si="11">AP8*1.01</f>
        <v>53.50145639833049</v>
      </c>
      <c r="AR8" s="6">
        <f t="shared" si="11"/>
        <v>54.036470962313793</v>
      </c>
      <c r="AS8" s="6">
        <f t="shared" si="11"/>
        <v>54.576835671936934</v>
      </c>
    </row>
    <row r="9" spans="1:157" x14ac:dyDescent="0.3">
      <c r="A9" s="1"/>
      <c r="B9" s="1" t="s">
        <v>26</v>
      </c>
      <c r="C9" s="5">
        <f>C5-C6-C7-C8</f>
        <v>-8.3999999999999932</v>
      </c>
      <c r="D9" s="5">
        <f t="shared" ref="D9" si="12">D5-D6-D7-D8</f>
        <v>-15.199999999999992</v>
      </c>
      <c r="E9" s="5"/>
      <c r="F9" s="5"/>
      <c r="G9" s="5">
        <f>G5-G6-G7-G8</f>
        <v>-43.399999999999991</v>
      </c>
      <c r="H9" s="5">
        <f t="shared" ref="H9:K9" si="13">H5-H6-H7-H8</f>
        <v>-51.499999999999986</v>
      </c>
      <c r="I9" s="5">
        <f t="shared" si="13"/>
        <v>-44.250000000000014</v>
      </c>
      <c r="J9" s="5">
        <f t="shared" si="13"/>
        <v>-43.5</v>
      </c>
      <c r="K9" s="5">
        <f t="shared" si="13"/>
        <v>-47</v>
      </c>
      <c r="L9" s="5">
        <f t="shared" ref="L9:W9" si="14">L5-L6-L7-L8</f>
        <v>-80.599999999999994</v>
      </c>
      <c r="M9" s="5">
        <f t="shared" si="14"/>
        <v>-56.1</v>
      </c>
      <c r="N9" s="5">
        <f t="shared" si="14"/>
        <v>-28.799999999999997</v>
      </c>
      <c r="O9" s="5">
        <f t="shared" si="14"/>
        <v>-22.4</v>
      </c>
      <c r="P9" s="5">
        <f t="shared" si="14"/>
        <v>-32.1</v>
      </c>
      <c r="Q9" s="5">
        <f t="shared" si="14"/>
        <v>-35.700000000000003</v>
      </c>
      <c r="R9" s="5">
        <f t="shared" si="14"/>
        <v>-31.5</v>
      </c>
      <c r="S9" s="5">
        <f t="shared" si="14"/>
        <v>-20.599999999999998</v>
      </c>
      <c r="T9" s="5">
        <f t="shared" si="14"/>
        <v>-26.9</v>
      </c>
      <c r="U9" s="5">
        <f t="shared" si="14"/>
        <v>-20.3</v>
      </c>
      <c r="V9" s="5">
        <f t="shared" si="14"/>
        <v>-20.9</v>
      </c>
      <c r="W9" s="5">
        <f t="shared" si="14"/>
        <v>-26</v>
      </c>
      <c r="X9" s="5"/>
      <c r="Y9" s="5"/>
      <c r="Z9" s="5"/>
      <c r="AA9" s="5"/>
      <c r="AB9" s="1"/>
      <c r="AC9" s="5">
        <f t="shared" ref="AC9:AI9" si="15">AC5-AC6-AC7-AC8</f>
        <v>-25.500000000000007</v>
      </c>
      <c r="AD9" s="5">
        <f t="shared" si="15"/>
        <v>-24.800000000000004</v>
      </c>
      <c r="AE9" s="5">
        <f t="shared" si="15"/>
        <v>-99.600000000000009</v>
      </c>
      <c r="AF9" s="5">
        <f t="shared" si="15"/>
        <v>-186.25000000000006</v>
      </c>
      <c r="AG9" s="5">
        <f t="shared" si="15"/>
        <v>-187.9</v>
      </c>
      <c r="AH9" s="5">
        <f t="shared" si="15"/>
        <v>-119.89999999999999</v>
      </c>
      <c r="AI9" s="5">
        <f t="shared" si="15"/>
        <v>-94.100000000000009</v>
      </c>
      <c r="AJ9" s="5">
        <f t="shared" ref="AJ9:AP9" si="16">AJ5-AJ6-AJ7-AJ8</f>
        <v>-60.468500000000006</v>
      </c>
      <c r="AK9" s="5">
        <f t="shared" si="16"/>
        <v>-42.815130000000011</v>
      </c>
      <c r="AL9" s="5">
        <f t="shared" si="16"/>
        <v>-30.439150250000012</v>
      </c>
      <c r="AM9" s="5">
        <f t="shared" si="16"/>
        <v>-20.320040500000005</v>
      </c>
      <c r="AN9" s="5">
        <f t="shared" si="16"/>
        <v>-15.9812270313125</v>
      </c>
      <c r="AO9" s="5">
        <f t="shared" si="16"/>
        <v>-13.284407363207492</v>
      </c>
      <c r="AP9" s="5">
        <f t="shared" si="16"/>
        <v>-10.373111651464107</v>
      </c>
      <c r="AQ9" s="5">
        <f t="shared" ref="AQ9:AS9" si="17">AQ5-AQ6-AQ7-AQ8</f>
        <v>-8.3541639882857766</v>
      </c>
      <c r="AR9" s="5">
        <f t="shared" si="17"/>
        <v>-6.204705572636783</v>
      </c>
      <c r="AS9" s="5">
        <f t="shared" si="17"/>
        <v>-3.917831486463399</v>
      </c>
    </row>
    <row r="10" spans="1:157" x14ac:dyDescent="0.3">
      <c r="B10" t="s">
        <v>27</v>
      </c>
      <c r="C10" s="6">
        <v>0.4</v>
      </c>
      <c r="D10" s="6">
        <v>-0.3</v>
      </c>
      <c r="E10" s="6"/>
      <c r="F10" s="6"/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8.1999999999999993</v>
      </c>
      <c r="M10" s="6">
        <v>7.6</v>
      </c>
      <c r="N10" s="6">
        <f>-2.5+6.3</f>
        <v>3.8</v>
      </c>
      <c r="O10" s="6">
        <v>4.4000000000000004</v>
      </c>
      <c r="P10" s="6">
        <v>3.5</v>
      </c>
      <c r="Q10" s="6">
        <f>-15.2+1.7</f>
        <v>-13.5</v>
      </c>
      <c r="R10" s="6">
        <v>2.2999999999999998</v>
      </c>
      <c r="S10" s="6">
        <v>-4.5999999999999996</v>
      </c>
      <c r="T10" s="6">
        <v>-0.1</v>
      </c>
      <c r="U10" s="6">
        <v>-0.3</v>
      </c>
      <c r="V10" s="6">
        <v>-0.2</v>
      </c>
      <c r="W10" s="6">
        <v>0.4</v>
      </c>
      <c r="X10" s="6"/>
      <c r="Y10" s="6"/>
      <c r="Z10" s="6"/>
      <c r="AA10" s="6"/>
      <c r="AC10" s="6">
        <v>2.2000000000000002</v>
      </c>
      <c r="AD10" s="6">
        <v>2.5</v>
      </c>
      <c r="AE10" s="6">
        <v>1.3</v>
      </c>
      <c r="AF10" s="6">
        <f>SUM(H10:K10)</f>
        <v>0</v>
      </c>
      <c r="AG10" s="6">
        <f>SUM(L10:O10)</f>
        <v>24</v>
      </c>
      <c r="AH10" s="6">
        <f>SUM(P10:S10)</f>
        <v>-12.3</v>
      </c>
      <c r="AI10" s="6">
        <f>SUM(T10:W10)</f>
        <v>-0.20000000000000007</v>
      </c>
      <c r="AJ10" s="6">
        <v>-0.5</v>
      </c>
      <c r="AK10" s="6">
        <f>AJ10*1.5</f>
        <v>-0.75</v>
      </c>
      <c r="AL10" s="6">
        <f t="shared" ref="AL10:AO10" si="18">AK10*1.5</f>
        <v>-1.125</v>
      </c>
      <c r="AM10" s="6">
        <f t="shared" si="18"/>
        <v>-1.6875</v>
      </c>
      <c r="AN10" s="6">
        <f t="shared" si="18"/>
        <v>-2.53125</v>
      </c>
      <c r="AO10" s="6">
        <f t="shared" si="18"/>
        <v>-3.796875</v>
      </c>
      <c r="AP10" s="6">
        <f>AO10*1.05</f>
        <v>-3.9867187500000001</v>
      </c>
      <c r="AQ10" s="6">
        <f t="shared" ref="AQ10:AS10" si="19">AP10*1.05</f>
        <v>-4.1860546875000004</v>
      </c>
      <c r="AR10" s="6">
        <f t="shared" si="19"/>
        <v>-4.3953574218750004</v>
      </c>
      <c r="AS10" s="6">
        <f t="shared" si="19"/>
        <v>-4.6151252929687505</v>
      </c>
    </row>
    <row r="11" spans="1:157" x14ac:dyDescent="0.3">
      <c r="B11" t="s">
        <v>28</v>
      </c>
      <c r="C11" s="6">
        <v>-0.1</v>
      </c>
      <c r="D11" s="6">
        <v>0.1</v>
      </c>
      <c r="E11" s="6"/>
      <c r="F11" s="6"/>
      <c r="G11" s="6">
        <v>0.7</v>
      </c>
      <c r="H11" s="6">
        <v>2</v>
      </c>
      <c r="I11" s="6">
        <v>0</v>
      </c>
      <c r="J11" s="6">
        <v>0</v>
      </c>
      <c r="K11" s="6">
        <v>0</v>
      </c>
      <c r="L11" s="6">
        <f>65.5-4.5</f>
        <v>61</v>
      </c>
      <c r="M11" s="6">
        <f>-1+0.1</f>
        <v>-0.9</v>
      </c>
      <c r="N11" s="6">
        <f>51.2+0.1-0.5</f>
        <v>50.800000000000004</v>
      </c>
      <c r="O11" s="6">
        <f>-0.6+0.3+116.8</f>
        <v>116.5</v>
      </c>
      <c r="P11" s="6">
        <v>0</v>
      </c>
      <c r="Q11" s="6">
        <f>-0.2</f>
        <v>-0.2</v>
      </c>
      <c r="R11" s="6">
        <v>-0.2</v>
      </c>
      <c r="S11" s="6">
        <v>-0.4</v>
      </c>
      <c r="T11" s="6">
        <v>-0.1</v>
      </c>
      <c r="U11" s="6">
        <v>-0.2</v>
      </c>
      <c r="V11" s="6">
        <v>0.3</v>
      </c>
      <c r="W11" s="6">
        <v>0</v>
      </c>
      <c r="X11" s="6"/>
      <c r="Y11" s="6"/>
      <c r="Z11" s="6"/>
      <c r="AA11" s="6"/>
      <c r="AC11" s="6">
        <v>0.1</v>
      </c>
      <c r="AD11" s="6">
        <v>-3.7</v>
      </c>
      <c r="AE11" s="6">
        <v>21.4</v>
      </c>
      <c r="AF11" s="6">
        <f>SUM(H11:K11)</f>
        <v>2</v>
      </c>
      <c r="AG11" s="6">
        <f>SUM(L11:O11)</f>
        <v>227.4</v>
      </c>
      <c r="AH11" s="6">
        <f>SUM(P11:S11)</f>
        <v>-0.8</v>
      </c>
      <c r="AI11" s="6">
        <f>SUM(T11:W11)</f>
        <v>-5.5511151231257827E-17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</row>
    <row r="12" spans="1:157" x14ac:dyDescent="0.3">
      <c r="A12" s="1"/>
      <c r="B12" s="1" t="s">
        <v>29</v>
      </c>
      <c r="C12" s="5">
        <f>C9-C10-C11</f>
        <v>-8.699999999999994</v>
      </c>
      <c r="D12" s="5">
        <f t="shared" ref="D12" si="20">D9-D10-D11</f>
        <v>-14.999999999999991</v>
      </c>
      <c r="E12" s="5"/>
      <c r="F12" s="5"/>
      <c r="G12" s="5">
        <f>G9-G10-G11</f>
        <v>-44.099999999999994</v>
      </c>
      <c r="H12" s="5">
        <f t="shared" ref="H12:K12" si="21">H9-H10-H11</f>
        <v>-53.499999999999986</v>
      </c>
      <c r="I12" s="5">
        <f t="shared" si="21"/>
        <v>-44.250000000000014</v>
      </c>
      <c r="J12" s="5">
        <f t="shared" si="21"/>
        <v>-43.5</v>
      </c>
      <c r="K12" s="5">
        <f t="shared" si="21"/>
        <v>-47</v>
      </c>
      <c r="L12" s="5">
        <f t="shared" ref="L12:W12" si="22">L9-L10-L11</f>
        <v>-149.80000000000001</v>
      </c>
      <c r="M12" s="5">
        <f t="shared" si="22"/>
        <v>-62.800000000000004</v>
      </c>
      <c r="N12" s="5">
        <f t="shared" si="22"/>
        <v>-83.4</v>
      </c>
      <c r="O12" s="5">
        <f t="shared" si="22"/>
        <v>-143.30000000000001</v>
      </c>
      <c r="P12" s="5">
        <f t="shared" si="22"/>
        <v>-35.6</v>
      </c>
      <c r="Q12" s="5">
        <f t="shared" si="22"/>
        <v>-22.000000000000004</v>
      </c>
      <c r="R12" s="5">
        <f t="shared" si="22"/>
        <v>-33.599999999999994</v>
      </c>
      <c r="S12" s="5">
        <f t="shared" si="22"/>
        <v>-15.599999999999998</v>
      </c>
      <c r="T12" s="5">
        <f t="shared" si="22"/>
        <v>-26.699999999999996</v>
      </c>
      <c r="U12" s="5">
        <f t="shared" si="22"/>
        <v>-19.8</v>
      </c>
      <c r="V12" s="5">
        <f t="shared" si="22"/>
        <v>-21</v>
      </c>
      <c r="W12" s="5">
        <f t="shared" si="22"/>
        <v>-26.4</v>
      </c>
      <c r="X12" s="5"/>
      <c r="Y12" s="5"/>
      <c r="Z12" s="5"/>
      <c r="AA12" s="5"/>
      <c r="AB12" s="1"/>
      <c r="AC12" s="5">
        <f t="shared" ref="AC12:AI12" si="23">AC9-AC10-AC11</f>
        <v>-27.800000000000008</v>
      </c>
      <c r="AD12" s="5">
        <f t="shared" si="23"/>
        <v>-23.600000000000005</v>
      </c>
      <c r="AE12" s="5">
        <f t="shared" si="23"/>
        <v>-122.30000000000001</v>
      </c>
      <c r="AF12" s="5">
        <f t="shared" si="23"/>
        <v>-188.25000000000006</v>
      </c>
      <c r="AG12" s="5">
        <f t="shared" si="23"/>
        <v>-439.3</v>
      </c>
      <c r="AH12" s="5">
        <f t="shared" si="23"/>
        <v>-106.8</v>
      </c>
      <c r="AI12" s="5">
        <f t="shared" si="23"/>
        <v>-93.9</v>
      </c>
      <c r="AJ12" s="5">
        <f t="shared" ref="AJ12:AP12" si="24">AJ9-AJ10-AJ11</f>
        <v>-59.968500000000006</v>
      </c>
      <c r="AK12" s="5">
        <f t="shared" si="24"/>
        <v>-42.065130000000011</v>
      </c>
      <c r="AL12" s="5">
        <f t="shared" si="24"/>
        <v>-29.314150250000012</v>
      </c>
      <c r="AM12" s="5">
        <f t="shared" si="24"/>
        <v>-18.632540500000005</v>
      </c>
      <c r="AN12" s="5">
        <f t="shared" si="24"/>
        <v>-13.4499770313125</v>
      </c>
      <c r="AO12" s="5">
        <f t="shared" si="24"/>
        <v>-9.4875323632074924</v>
      </c>
      <c r="AP12" s="5">
        <f t="shared" si="24"/>
        <v>-6.3863929014641077</v>
      </c>
      <c r="AQ12" s="5">
        <f t="shared" ref="AQ12:AS12" si="25">AQ9-AQ10-AQ11</f>
        <v>-4.1681093007857761</v>
      </c>
      <c r="AR12" s="5">
        <f t="shared" si="25"/>
        <v>-1.8093481507617826</v>
      </c>
      <c r="AS12" s="5">
        <f t="shared" si="25"/>
        <v>0.69729380650535155</v>
      </c>
    </row>
    <row r="13" spans="1:157" x14ac:dyDescent="0.3">
      <c r="B13" t="s">
        <v>30</v>
      </c>
      <c r="C13" s="6">
        <v>0</v>
      </c>
      <c r="D13" s="6">
        <v>0</v>
      </c>
      <c r="E13" s="6"/>
      <c r="F13" s="6"/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-0.2</v>
      </c>
      <c r="M13" s="6">
        <v>-0.2</v>
      </c>
      <c r="N13" s="6">
        <v>-0.1</v>
      </c>
      <c r="O13" s="6">
        <v>0.1</v>
      </c>
      <c r="P13" s="6">
        <v>0.1</v>
      </c>
      <c r="Q13" s="6">
        <v>0</v>
      </c>
      <c r="R13" s="6">
        <v>0</v>
      </c>
      <c r="S13" s="6">
        <v>0.1</v>
      </c>
      <c r="T13" s="6">
        <v>0</v>
      </c>
      <c r="U13" s="6">
        <v>0.1</v>
      </c>
      <c r="V13" s="6">
        <v>0</v>
      </c>
      <c r="W13" s="6">
        <v>-0.1</v>
      </c>
      <c r="X13" s="6"/>
      <c r="Y13" s="6"/>
      <c r="Z13" s="6"/>
      <c r="AA13" s="6"/>
      <c r="AC13" s="6">
        <v>0</v>
      </c>
      <c r="AD13" s="6">
        <v>0</v>
      </c>
      <c r="AE13" s="6">
        <v>0.1</v>
      </c>
      <c r="AF13" s="6">
        <f>SUM(H13:K13)</f>
        <v>0</v>
      </c>
      <c r="AG13" s="6">
        <f>SUM(L13:O13)</f>
        <v>-0.4</v>
      </c>
      <c r="AH13" s="6">
        <f>SUM(P13:S13)</f>
        <v>0.2</v>
      </c>
      <c r="AI13" s="6">
        <f>SUM(T13:W13)</f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</row>
    <row r="14" spans="1:157" x14ac:dyDescent="0.3">
      <c r="A14" s="1"/>
      <c r="B14" s="1" t="s">
        <v>31</v>
      </c>
      <c r="C14" s="5">
        <f>C12-C13</f>
        <v>-8.699999999999994</v>
      </c>
      <c r="D14" s="5">
        <f t="shared" ref="D14" si="26">D12-D13</f>
        <v>-14.999999999999991</v>
      </c>
      <c r="E14" s="5"/>
      <c r="F14" s="5"/>
      <c r="G14" s="5">
        <f>G12-G13</f>
        <v>-44.099999999999994</v>
      </c>
      <c r="H14" s="5">
        <f t="shared" ref="H14:K14" si="27">H12-H13</f>
        <v>-53.499999999999986</v>
      </c>
      <c r="I14" s="5">
        <f t="shared" si="27"/>
        <v>-44.250000000000014</v>
      </c>
      <c r="J14" s="5">
        <f t="shared" si="27"/>
        <v>-43.5</v>
      </c>
      <c r="K14" s="5">
        <f t="shared" si="27"/>
        <v>-47</v>
      </c>
      <c r="L14" s="5">
        <f t="shared" ref="L14:W14" si="28">L12-L13</f>
        <v>-149.60000000000002</v>
      </c>
      <c r="M14" s="5">
        <f t="shared" si="28"/>
        <v>-62.6</v>
      </c>
      <c r="N14" s="5">
        <f t="shared" si="28"/>
        <v>-83.300000000000011</v>
      </c>
      <c r="O14" s="5">
        <f t="shared" si="28"/>
        <v>-143.4</v>
      </c>
      <c r="P14" s="5">
        <f t="shared" si="28"/>
        <v>-35.700000000000003</v>
      </c>
      <c r="Q14" s="5">
        <f t="shared" si="28"/>
        <v>-22.000000000000004</v>
      </c>
      <c r="R14" s="5">
        <f t="shared" si="28"/>
        <v>-33.599999999999994</v>
      </c>
      <c r="S14" s="5">
        <f t="shared" si="28"/>
        <v>-15.699999999999998</v>
      </c>
      <c r="T14" s="5">
        <f t="shared" si="28"/>
        <v>-26.699999999999996</v>
      </c>
      <c r="U14" s="5">
        <f t="shared" si="28"/>
        <v>-19.900000000000002</v>
      </c>
      <c r="V14" s="5">
        <f t="shared" si="28"/>
        <v>-21</v>
      </c>
      <c r="W14" s="5">
        <f t="shared" si="28"/>
        <v>-26.299999999999997</v>
      </c>
      <c r="X14" s="5"/>
      <c r="Y14" s="5"/>
      <c r="Z14" s="5"/>
      <c r="AA14" s="5"/>
      <c r="AB14" s="1"/>
      <c r="AC14" s="5">
        <f t="shared" ref="AC14:AI14" si="29">AC12-AC13</f>
        <v>-27.800000000000008</v>
      </c>
      <c r="AD14" s="5">
        <f t="shared" si="29"/>
        <v>-23.600000000000005</v>
      </c>
      <c r="AE14" s="5">
        <f t="shared" si="29"/>
        <v>-122.4</v>
      </c>
      <c r="AF14" s="5">
        <f t="shared" si="29"/>
        <v>-188.25000000000006</v>
      </c>
      <c r="AG14" s="5">
        <f t="shared" si="29"/>
        <v>-438.90000000000003</v>
      </c>
      <c r="AH14" s="5">
        <f t="shared" si="29"/>
        <v>-107</v>
      </c>
      <c r="AI14" s="5">
        <f t="shared" si="29"/>
        <v>-93.9</v>
      </c>
      <c r="AJ14" s="5">
        <f t="shared" ref="AJ14:AP14" si="30">AJ12-AJ13</f>
        <v>-59.968500000000006</v>
      </c>
      <c r="AK14" s="5">
        <f t="shared" si="30"/>
        <v>-42.065130000000011</v>
      </c>
      <c r="AL14" s="5">
        <f t="shared" si="30"/>
        <v>-29.314150250000012</v>
      </c>
      <c r="AM14" s="5">
        <f t="shared" si="30"/>
        <v>-18.632540500000005</v>
      </c>
      <c r="AN14" s="5">
        <f t="shared" si="30"/>
        <v>-13.4499770313125</v>
      </c>
      <c r="AO14" s="5">
        <f t="shared" si="30"/>
        <v>-9.4875323632074924</v>
      </c>
      <c r="AP14" s="5">
        <f t="shared" si="30"/>
        <v>-6.3863929014641077</v>
      </c>
      <c r="AQ14" s="5">
        <f t="shared" ref="AQ14:AS14" si="31">AQ12-AQ13</f>
        <v>-4.1681093007857761</v>
      </c>
      <c r="AR14" s="5">
        <f t="shared" si="31"/>
        <v>-1.8093481507617826</v>
      </c>
      <c r="AS14" s="5">
        <f t="shared" si="31"/>
        <v>0.69729380650535155</v>
      </c>
      <c r="AT14" s="5">
        <f t="shared" ref="AT14:BY14" si="32">AS14*(1+$AW$20)</f>
        <v>0.69032086844029805</v>
      </c>
      <c r="AU14" s="5">
        <f t="shared" si="32"/>
        <v>0.68341765975589508</v>
      </c>
      <c r="AV14" s="5">
        <f t="shared" si="32"/>
        <v>0.67658348315833616</v>
      </c>
      <c r="AW14" s="5">
        <f t="shared" si="32"/>
        <v>0.66981764832675283</v>
      </c>
      <c r="AX14" s="5">
        <f t="shared" si="32"/>
        <v>0.6631194718434853</v>
      </c>
      <c r="AY14" s="5">
        <f t="shared" si="32"/>
        <v>0.65648827712505042</v>
      </c>
      <c r="AZ14" s="5">
        <f t="shared" si="32"/>
        <v>0.64992339435379987</v>
      </c>
      <c r="BA14" s="5">
        <f t="shared" si="32"/>
        <v>0.64342416041026185</v>
      </c>
      <c r="BB14" s="5">
        <f t="shared" si="32"/>
        <v>0.63698991880615918</v>
      </c>
      <c r="BC14" s="5">
        <f t="shared" si="32"/>
        <v>0.63062001961809755</v>
      </c>
      <c r="BD14" s="5">
        <f t="shared" si="32"/>
        <v>0.62431381942191655</v>
      </c>
      <c r="BE14" s="5">
        <f t="shared" si="32"/>
        <v>0.61807068122769737</v>
      </c>
      <c r="BF14" s="5">
        <f t="shared" si="32"/>
        <v>0.61188997441542037</v>
      </c>
      <c r="BG14" s="5">
        <f t="shared" si="32"/>
        <v>0.60577107467126612</v>
      </c>
      <c r="BH14" s="5">
        <f t="shared" si="32"/>
        <v>0.59971336392455343</v>
      </c>
      <c r="BI14" s="5">
        <f t="shared" si="32"/>
        <v>0.59371623028530784</v>
      </c>
      <c r="BJ14" s="5">
        <f t="shared" si="32"/>
        <v>0.58777906798245472</v>
      </c>
      <c r="BK14" s="5">
        <f t="shared" si="32"/>
        <v>0.58190127730263019</v>
      </c>
      <c r="BL14" s="5">
        <f t="shared" si="32"/>
        <v>0.57608226452960387</v>
      </c>
      <c r="BM14" s="5">
        <f t="shared" si="32"/>
        <v>0.57032144188430778</v>
      </c>
      <c r="BN14" s="5">
        <f t="shared" si="32"/>
        <v>0.56461822746546475</v>
      </c>
      <c r="BO14" s="5">
        <f t="shared" si="32"/>
        <v>0.55897204519081012</v>
      </c>
      <c r="BP14" s="5">
        <f t="shared" si="32"/>
        <v>0.55338232473890203</v>
      </c>
      <c r="BQ14" s="5">
        <f t="shared" si="32"/>
        <v>0.54784850149151298</v>
      </c>
      <c r="BR14" s="5">
        <f t="shared" si="32"/>
        <v>0.54237001647659788</v>
      </c>
      <c r="BS14" s="5">
        <f t="shared" si="32"/>
        <v>0.53694631631183187</v>
      </c>
      <c r="BT14" s="5">
        <f t="shared" si="32"/>
        <v>0.5315768531487135</v>
      </c>
      <c r="BU14" s="5">
        <f t="shared" si="32"/>
        <v>0.52626108461722632</v>
      </c>
      <c r="BV14" s="5">
        <f t="shared" si="32"/>
        <v>0.52099847377105402</v>
      </c>
      <c r="BW14" s="5">
        <f t="shared" si="32"/>
        <v>0.51578848903334351</v>
      </c>
      <c r="BX14" s="5">
        <f t="shared" si="32"/>
        <v>0.51063060414301009</v>
      </c>
      <c r="BY14" s="5">
        <f t="shared" si="32"/>
        <v>0.50552429810157995</v>
      </c>
      <c r="BZ14" s="5">
        <f t="shared" ref="BZ14:DE14" si="33">BY14*(1+$AW$20)</f>
        <v>0.50046905512056417</v>
      </c>
      <c r="CA14" s="5">
        <f t="shared" si="33"/>
        <v>0.4954643645693585</v>
      </c>
      <c r="CB14" s="5">
        <f t="shared" si="33"/>
        <v>0.4905097209236649</v>
      </c>
      <c r="CC14" s="5">
        <f t="shared" si="33"/>
        <v>0.48560462371442825</v>
      </c>
      <c r="CD14" s="5">
        <f t="shared" si="33"/>
        <v>0.48074857747728394</v>
      </c>
      <c r="CE14" s="5">
        <f t="shared" si="33"/>
        <v>0.47594109170251109</v>
      </c>
      <c r="CF14" s="5">
        <f t="shared" si="33"/>
        <v>0.47118168078548595</v>
      </c>
      <c r="CG14" s="5">
        <f t="shared" si="33"/>
        <v>0.46646986397763107</v>
      </c>
      <c r="CH14" s="5">
        <f t="shared" si="33"/>
        <v>0.46180516533785476</v>
      </c>
      <c r="CI14" s="5">
        <f t="shared" si="33"/>
        <v>0.45718711368447623</v>
      </c>
      <c r="CJ14" s="5">
        <f t="shared" si="33"/>
        <v>0.45261524254763147</v>
      </c>
      <c r="CK14" s="5">
        <f t="shared" si="33"/>
        <v>0.44808909012215514</v>
      </c>
      <c r="CL14" s="5">
        <f t="shared" si="33"/>
        <v>0.44360819922093359</v>
      </c>
      <c r="CM14" s="5">
        <f t="shared" si="33"/>
        <v>0.43917211722872423</v>
      </c>
      <c r="CN14" s="5">
        <f t="shared" si="33"/>
        <v>0.43478039605643698</v>
      </c>
      <c r="CO14" s="5">
        <f t="shared" si="33"/>
        <v>0.43043259209587259</v>
      </c>
      <c r="CP14" s="5">
        <f t="shared" si="33"/>
        <v>0.42612826617491384</v>
      </c>
      <c r="CQ14" s="5">
        <f t="shared" si="33"/>
        <v>0.42186698351316471</v>
      </c>
      <c r="CR14" s="5">
        <f t="shared" si="33"/>
        <v>0.41764831367803307</v>
      </c>
      <c r="CS14" s="5">
        <f t="shared" si="33"/>
        <v>0.41347183054125275</v>
      </c>
      <c r="CT14" s="5">
        <f t="shared" si="33"/>
        <v>0.40933711223584024</v>
      </c>
      <c r="CU14" s="5">
        <f t="shared" si="33"/>
        <v>0.40524374111348183</v>
      </c>
      <c r="CV14" s="5">
        <f t="shared" si="33"/>
        <v>0.40119130370234701</v>
      </c>
      <c r="CW14" s="5">
        <f t="shared" si="33"/>
        <v>0.39717939066532354</v>
      </c>
      <c r="CX14" s="5">
        <f t="shared" si="33"/>
        <v>0.39320759675867029</v>
      </c>
      <c r="CY14" s="5">
        <f t="shared" si="33"/>
        <v>0.38927552079108357</v>
      </c>
      <c r="CZ14" s="5">
        <f t="shared" si="33"/>
        <v>0.38538276558317275</v>
      </c>
      <c r="DA14" s="5">
        <f t="shared" si="33"/>
        <v>0.38152893792734099</v>
      </c>
      <c r="DB14" s="5">
        <f t="shared" si="33"/>
        <v>0.3777136485480676</v>
      </c>
      <c r="DC14" s="5">
        <f t="shared" si="33"/>
        <v>0.37393651206258693</v>
      </c>
      <c r="DD14" s="5">
        <f t="shared" si="33"/>
        <v>0.37019714694196104</v>
      </c>
      <c r="DE14" s="5">
        <f t="shared" si="33"/>
        <v>0.3664951754725414</v>
      </c>
      <c r="DF14" s="5">
        <f t="shared" ref="DF14:EK14" si="34">DE14*(1+$AW$20)</f>
        <v>0.36283022371781598</v>
      </c>
      <c r="DG14" s="5">
        <f t="shared" si="34"/>
        <v>0.35920192148063784</v>
      </c>
      <c r="DH14" s="5">
        <f t="shared" si="34"/>
        <v>0.35560990226583145</v>
      </c>
      <c r="DI14" s="5">
        <f t="shared" si="34"/>
        <v>0.35205380324317315</v>
      </c>
      <c r="DJ14" s="5">
        <f t="shared" si="34"/>
        <v>0.34853326521074141</v>
      </c>
      <c r="DK14" s="5">
        <f t="shared" si="34"/>
        <v>0.34504793255863397</v>
      </c>
      <c r="DL14" s="5">
        <f t="shared" si="34"/>
        <v>0.34159745323304763</v>
      </c>
      <c r="DM14" s="5">
        <f t="shared" si="34"/>
        <v>0.33818147870071713</v>
      </c>
      <c r="DN14" s="5">
        <f t="shared" si="34"/>
        <v>0.33479966391370997</v>
      </c>
      <c r="DO14" s="5">
        <f t="shared" si="34"/>
        <v>0.33145166727457287</v>
      </c>
      <c r="DP14" s="5">
        <f t="shared" si="34"/>
        <v>0.32813715060182713</v>
      </c>
      <c r="DQ14" s="5">
        <f t="shared" si="34"/>
        <v>0.32485577909580887</v>
      </c>
      <c r="DR14" s="5">
        <f t="shared" si="34"/>
        <v>0.32160722130485075</v>
      </c>
      <c r="DS14" s="5">
        <f t="shared" si="34"/>
        <v>0.31839114909180222</v>
      </c>
      <c r="DT14" s="5">
        <f t="shared" si="34"/>
        <v>0.3152072376008842</v>
      </c>
      <c r="DU14" s="5">
        <f t="shared" si="34"/>
        <v>0.31205516522487536</v>
      </c>
      <c r="DV14" s="5">
        <f t="shared" si="34"/>
        <v>0.30893461357262658</v>
      </c>
      <c r="DW14" s="5">
        <f t="shared" si="34"/>
        <v>0.30584526743690033</v>
      </c>
      <c r="DX14" s="5">
        <f t="shared" si="34"/>
        <v>0.30278681476253133</v>
      </c>
      <c r="DY14" s="5">
        <f t="shared" si="34"/>
        <v>0.29975894661490604</v>
      </c>
      <c r="DZ14" s="5">
        <f t="shared" si="34"/>
        <v>0.29676135714875695</v>
      </c>
      <c r="EA14" s="5">
        <f t="shared" si="34"/>
        <v>0.2937937435772694</v>
      </c>
      <c r="EB14" s="5">
        <f t="shared" si="34"/>
        <v>0.2908558061414967</v>
      </c>
      <c r="EC14" s="5">
        <f t="shared" si="34"/>
        <v>0.28794724808008171</v>
      </c>
      <c r="ED14" s="5">
        <f t="shared" si="34"/>
        <v>0.28506777559928087</v>
      </c>
      <c r="EE14" s="5">
        <f t="shared" si="34"/>
        <v>0.28221709784328808</v>
      </c>
      <c r="EF14" s="5">
        <f t="shared" si="34"/>
        <v>0.27939492686485518</v>
      </c>
      <c r="EG14" s="5">
        <f t="shared" si="34"/>
        <v>0.27660097759620661</v>
      </c>
      <c r="EH14" s="5">
        <f t="shared" si="34"/>
        <v>0.27383496782024452</v>
      </c>
      <c r="EI14" s="5">
        <f t="shared" si="34"/>
        <v>0.27109661814204206</v>
      </c>
      <c r="EJ14" s="5">
        <f t="shared" si="34"/>
        <v>0.26838565196062164</v>
      </c>
      <c r="EK14" s="5">
        <f t="shared" si="34"/>
        <v>0.26570179544101541</v>
      </c>
      <c r="EL14" s="5">
        <f t="shared" ref="EL14:FA14" si="35">EK14*(1+$AW$20)</f>
        <v>0.26304477748660526</v>
      </c>
      <c r="EM14" s="5">
        <f t="shared" si="35"/>
        <v>0.26041432971173922</v>
      </c>
      <c r="EN14" s="5">
        <f t="shared" si="35"/>
        <v>0.25781018641462183</v>
      </c>
      <c r="EO14" s="5">
        <f t="shared" si="35"/>
        <v>0.25523208455047564</v>
      </c>
      <c r="EP14" s="5">
        <f t="shared" si="35"/>
        <v>0.25267976370497086</v>
      </c>
      <c r="EQ14" s="5">
        <f t="shared" si="35"/>
        <v>0.25015296606792115</v>
      </c>
      <c r="ER14" s="5">
        <f t="shared" si="35"/>
        <v>0.24765143640724194</v>
      </c>
      <c r="ES14" s="5">
        <f t="shared" si="35"/>
        <v>0.24517492204316951</v>
      </c>
      <c r="ET14" s="5">
        <f t="shared" si="35"/>
        <v>0.24272317282273781</v>
      </c>
      <c r="EU14" s="5">
        <f t="shared" si="35"/>
        <v>0.24029594109451044</v>
      </c>
      <c r="EV14" s="5">
        <f t="shared" si="35"/>
        <v>0.23789298168356535</v>
      </c>
      <c r="EW14" s="5">
        <f t="shared" si="35"/>
        <v>0.23551405186672969</v>
      </c>
      <c r="EX14" s="5">
        <f t="shared" si="35"/>
        <v>0.23315891134806238</v>
      </c>
      <c r="EY14" s="5">
        <f t="shared" si="35"/>
        <v>0.23082732223458174</v>
      </c>
      <c r="EZ14" s="5">
        <f t="shared" si="35"/>
        <v>0.22851904901223594</v>
      </c>
      <c r="FA14" s="5">
        <f t="shared" si="35"/>
        <v>0.22623385852211358</v>
      </c>
    </row>
    <row r="15" spans="1:157" x14ac:dyDescent="0.3">
      <c r="B15" t="s">
        <v>2</v>
      </c>
      <c r="C15" s="6">
        <f>291.8+78.1</f>
        <v>369.9</v>
      </c>
      <c r="D15" s="6">
        <v>356.8</v>
      </c>
      <c r="E15" s="6"/>
      <c r="F15" s="6"/>
      <c r="G15" s="6">
        <f>291.8+78.1</f>
        <v>369.9</v>
      </c>
      <c r="H15" s="6">
        <v>356.8</v>
      </c>
      <c r="I15" s="6">
        <v>356.8</v>
      </c>
      <c r="J15" s="6">
        <v>356.8</v>
      </c>
      <c r="K15" s="6">
        <v>356.8</v>
      </c>
      <c r="L15" s="6">
        <v>356.8</v>
      </c>
      <c r="M15" s="6">
        <v>20.8</v>
      </c>
      <c r="N15" s="6">
        <v>20.8</v>
      </c>
      <c r="O15" s="6">
        <v>20.8</v>
      </c>
      <c r="P15" s="6">
        <v>20.9</v>
      </c>
      <c r="Q15" s="6">
        <v>20.8</v>
      </c>
      <c r="R15" s="6">
        <v>20.8</v>
      </c>
      <c r="S15" s="6">
        <v>20.100000000000001</v>
      </c>
      <c r="T15" s="6">
        <v>18.5</v>
      </c>
      <c r="U15" s="6">
        <f>14+3.4</f>
        <v>17.399999999999999</v>
      </c>
      <c r="V15" s="6">
        <f>14.4+3.4</f>
        <v>17.8</v>
      </c>
      <c r="W15" s="6">
        <v>17.600000000000001</v>
      </c>
      <c r="X15" s="6"/>
      <c r="Y15" s="6"/>
      <c r="Z15" s="6"/>
      <c r="AA15" s="6"/>
      <c r="AC15" s="6">
        <f>291.8+78.1</f>
        <v>369.9</v>
      </c>
      <c r="AD15" s="6">
        <f>291.8+78.1</f>
        <v>369.9</v>
      </c>
      <c r="AE15" s="6">
        <f>291.8+78.1</f>
        <v>369.9</v>
      </c>
      <c r="AF15" s="6">
        <v>356.8</v>
      </c>
      <c r="AG15" s="6">
        <f>O15</f>
        <v>20.8</v>
      </c>
      <c r="AH15" s="6">
        <f>S15</f>
        <v>20.100000000000001</v>
      </c>
      <c r="AI15" s="6">
        <v>17.600000000000001</v>
      </c>
      <c r="AJ15" s="6">
        <v>17.600000000000001</v>
      </c>
      <c r="AK15" s="6">
        <v>17.600000000000001</v>
      </c>
      <c r="AL15" s="6">
        <v>17.600000000000001</v>
      </c>
      <c r="AM15" s="6">
        <v>17.600000000000001</v>
      </c>
      <c r="AN15" s="6">
        <v>17.600000000000001</v>
      </c>
      <c r="AO15" s="6">
        <v>17.600000000000001</v>
      </c>
      <c r="AP15" s="6">
        <v>17.600000000000001</v>
      </c>
      <c r="AQ15" s="6">
        <v>17.600000000000001</v>
      </c>
      <c r="AR15" s="6">
        <v>17.600000000000001</v>
      </c>
      <c r="AS15" s="6">
        <v>17.600000000000001</v>
      </c>
    </row>
    <row r="16" spans="1:157" x14ac:dyDescent="0.3">
      <c r="A16" s="1"/>
      <c r="B16" s="1" t="s">
        <v>32</v>
      </c>
      <c r="C16" s="7">
        <f>C14/C15</f>
        <v>-2.3519870235198689E-2</v>
      </c>
      <c r="D16" s="7">
        <f t="shared" ref="D16" si="36">D14/D15</f>
        <v>-4.2040358744394594E-2</v>
      </c>
      <c r="E16" s="1"/>
      <c r="F16" s="1"/>
      <c r="G16" s="7">
        <f>G14/G15</f>
        <v>-0.11922141119221411</v>
      </c>
      <c r="H16" s="7">
        <f t="shared" ref="H16:K16" si="37">H14/H15</f>
        <v>-0.14994394618834075</v>
      </c>
      <c r="I16" s="7">
        <f t="shared" si="37"/>
        <v>-0.12401905829596416</v>
      </c>
      <c r="J16" s="7">
        <f t="shared" si="37"/>
        <v>-0.12191704035874439</v>
      </c>
      <c r="K16" s="7">
        <f t="shared" si="37"/>
        <v>-0.13172645739910313</v>
      </c>
      <c r="L16" s="7">
        <f t="shared" ref="L16:W16" si="38">L14/L15</f>
        <v>-0.41928251121076238</v>
      </c>
      <c r="M16" s="7">
        <f t="shared" si="38"/>
        <v>-3.0096153846153846</v>
      </c>
      <c r="N16" s="7">
        <f t="shared" si="38"/>
        <v>-4.0048076923076925</v>
      </c>
      <c r="O16" s="7">
        <f t="shared" si="38"/>
        <v>-6.8942307692307692</v>
      </c>
      <c r="P16" s="7">
        <f t="shared" si="38"/>
        <v>-1.7081339712918662</v>
      </c>
      <c r="Q16" s="7">
        <f t="shared" si="38"/>
        <v>-1.0576923076923079</v>
      </c>
      <c r="R16" s="7">
        <f t="shared" si="38"/>
        <v>-1.615384615384615</v>
      </c>
      <c r="S16" s="7">
        <f t="shared" si="38"/>
        <v>-0.78109452736318385</v>
      </c>
      <c r="T16" s="7">
        <f t="shared" si="38"/>
        <v>-1.4432432432432429</v>
      </c>
      <c r="U16" s="7">
        <f t="shared" si="38"/>
        <v>-1.1436781609195406</v>
      </c>
      <c r="V16" s="7">
        <f t="shared" si="38"/>
        <v>-1.1797752808988764</v>
      </c>
      <c r="W16" s="7">
        <f t="shared" si="38"/>
        <v>-1.4943181818181814</v>
      </c>
      <c r="X16" s="7"/>
      <c r="Y16" s="7"/>
      <c r="Z16" s="7"/>
      <c r="AA16" s="7"/>
      <c r="AB16" s="1"/>
      <c r="AC16" s="7">
        <f t="shared" ref="AC16:AI16" si="39">AC14/AC15</f>
        <v>-7.5155447418221166E-2</v>
      </c>
      <c r="AD16" s="7">
        <f t="shared" si="39"/>
        <v>-6.380102730467696E-2</v>
      </c>
      <c r="AE16" s="7">
        <f t="shared" si="39"/>
        <v>-0.33090024330900247</v>
      </c>
      <c r="AF16" s="7">
        <f t="shared" si="39"/>
        <v>-0.52760650224215266</v>
      </c>
      <c r="AG16" s="7">
        <f t="shared" si="39"/>
        <v>-21.10096153846154</v>
      </c>
      <c r="AH16" s="7">
        <f t="shared" si="39"/>
        <v>-5.323383084577114</v>
      </c>
      <c r="AI16" s="7">
        <f t="shared" si="39"/>
        <v>-5.3352272727272725</v>
      </c>
      <c r="AJ16" s="7">
        <f t="shared" ref="AJ16:AP16" si="40">AJ14/AJ15</f>
        <v>-3.4073011363636363</v>
      </c>
      <c r="AK16" s="7">
        <f t="shared" si="40"/>
        <v>-2.390064204545455</v>
      </c>
      <c r="AL16" s="7">
        <f t="shared" si="40"/>
        <v>-1.6655767187500006</v>
      </c>
      <c r="AM16" s="7">
        <f t="shared" si="40"/>
        <v>-1.0586670738636366</v>
      </c>
      <c r="AN16" s="7">
        <f t="shared" si="40"/>
        <v>-0.76420324041548293</v>
      </c>
      <c r="AO16" s="7">
        <f t="shared" si="40"/>
        <v>-0.53906433881860749</v>
      </c>
      <c r="AP16" s="7">
        <f t="shared" si="40"/>
        <v>-0.36286323303773338</v>
      </c>
      <c r="AQ16" s="7">
        <f t="shared" ref="AQ16:AS16" si="41">AQ14/AQ15</f>
        <v>-0.23682439209010089</v>
      </c>
      <c r="AR16" s="7">
        <f t="shared" si="41"/>
        <v>-0.102803872202374</v>
      </c>
      <c r="AS16" s="7">
        <f t="shared" si="41"/>
        <v>3.9618966278713155E-2</v>
      </c>
    </row>
    <row r="18" spans="2:49" x14ac:dyDescent="0.3">
      <c r="B18" s="1" t="s">
        <v>33</v>
      </c>
      <c r="C18" s="8"/>
      <c r="D18" s="8"/>
      <c r="E18" s="8"/>
      <c r="F18" s="8"/>
      <c r="G18" s="8">
        <f>G3/C3-1</f>
        <v>0.95100864553314124</v>
      </c>
      <c r="H18" s="8">
        <f t="shared" ref="H18:K18" si="42">H3/D3-1</f>
        <v>0.91972477064220182</v>
      </c>
      <c r="I18" s="8"/>
      <c r="J18" s="8"/>
      <c r="K18" s="8">
        <f t="shared" si="42"/>
        <v>0.77252584933530266</v>
      </c>
      <c r="L18" s="8">
        <f t="shared" ref="L18" si="43">L3/H3-1</f>
        <v>9.796893667861406E-2</v>
      </c>
      <c r="M18" s="8">
        <f t="shared" ref="M18" si="44">M3/I3-1</f>
        <v>-0.24421052631578954</v>
      </c>
      <c r="N18" s="8">
        <f t="shared" ref="N18" si="45">N3/J3-1</f>
        <v>-0.43714285714285717</v>
      </c>
      <c r="O18" s="8">
        <f t="shared" ref="O18" si="46">O3/K3-1</f>
        <v>-0.60916666666666663</v>
      </c>
      <c r="P18" s="8">
        <f t="shared" ref="P18" si="47">P3/L3-1</f>
        <v>-0.5168661588683352</v>
      </c>
      <c r="Q18" s="8">
        <f t="shared" ref="Q18" si="48">Q3/M3-1</f>
        <v>-0.44011142061281328</v>
      </c>
      <c r="R18" s="8">
        <f t="shared" ref="R18" si="49">R3/N3-1</f>
        <v>-0.38409475465313037</v>
      </c>
      <c r="S18" s="8">
        <f t="shared" ref="S18" si="50">S3/O3-1</f>
        <v>-0.33688699360341146</v>
      </c>
      <c r="T18" s="8">
        <f t="shared" ref="T18" si="51">T3/P3-1</f>
        <v>-0.43243243243243246</v>
      </c>
      <c r="U18" s="8">
        <f t="shared" ref="U18" si="52">U3/Q3-1</f>
        <v>-0.37064676616915426</v>
      </c>
      <c r="V18" s="8">
        <f t="shared" ref="V18" si="53">V3/R3-1</f>
        <v>-0.32417582417582413</v>
      </c>
      <c r="W18" s="8">
        <f t="shared" ref="W18" si="54">W3/S3-1</f>
        <v>-0.34405144694533774</v>
      </c>
      <c r="X18" s="8"/>
      <c r="Y18" s="8"/>
      <c r="Z18" s="8"/>
      <c r="AA18" s="8"/>
      <c r="AC18" s="8"/>
      <c r="AD18" s="8">
        <f>AD3/AC3-1</f>
        <v>1.3602362204724412</v>
      </c>
      <c r="AE18" s="8">
        <f t="shared" ref="AE18:AP18" si="55">AE3/AD3-1</f>
        <v>0.91909924937447851</v>
      </c>
      <c r="AF18" s="8">
        <f t="shared" si="55"/>
        <v>0.7544545849630595</v>
      </c>
      <c r="AG18" s="8">
        <f t="shared" si="55"/>
        <v>-0.33192965073074066</v>
      </c>
      <c r="AH18" s="8">
        <f t="shared" si="55"/>
        <v>-0.43604004449388212</v>
      </c>
      <c r="AI18" s="8">
        <f t="shared" si="55"/>
        <v>-0.37212360289283364</v>
      </c>
      <c r="AJ18" s="8">
        <f t="shared" si="55"/>
        <v>-0.15000000000000002</v>
      </c>
      <c r="AK18" s="8">
        <f t="shared" si="55"/>
        <v>3.0000000000000027E-2</v>
      </c>
      <c r="AL18" s="8">
        <f t="shared" si="55"/>
        <v>5.0000000000000044E-2</v>
      </c>
      <c r="AM18" s="8">
        <f t="shared" si="55"/>
        <v>5.0000000000000044E-2</v>
      </c>
      <c r="AN18" s="8">
        <f t="shared" si="55"/>
        <v>5.0000000000000044E-2</v>
      </c>
      <c r="AO18" s="8">
        <f t="shared" si="55"/>
        <v>5.0000000000000044E-2</v>
      </c>
      <c r="AP18" s="8">
        <f t="shared" si="55"/>
        <v>5.0000000000000044E-2</v>
      </c>
      <c r="AQ18" s="8">
        <f t="shared" ref="AQ18" si="56">AQ3/AP3-1</f>
        <v>5.0000000000000044E-2</v>
      </c>
      <c r="AR18" s="8">
        <f t="shared" ref="AR18" si="57">AR3/AQ3-1</f>
        <v>5.0000000000000044E-2</v>
      </c>
      <c r="AS18" s="8">
        <f t="shared" ref="AS18" si="58">AS3/AR3-1</f>
        <v>5.0000000000000044E-2</v>
      </c>
    </row>
    <row r="19" spans="2:49" x14ac:dyDescent="0.3">
      <c r="B19" s="1" t="s">
        <v>34</v>
      </c>
      <c r="C19" s="8">
        <f t="shared" ref="C19:D19" si="59">C5/C3</f>
        <v>0.94524495677233433</v>
      </c>
      <c r="D19" s="8">
        <f t="shared" si="59"/>
        <v>0.93577981651376152</v>
      </c>
      <c r="E19" s="8"/>
      <c r="F19" s="8"/>
      <c r="G19" s="8">
        <f>G5/G3</f>
        <v>0.94830132939438705</v>
      </c>
      <c r="H19" s="8">
        <f t="shared" ref="H19:K19" si="60">H5/H3</f>
        <v>0.94862604540023898</v>
      </c>
      <c r="I19" s="8">
        <f t="shared" si="60"/>
        <v>0.95</v>
      </c>
      <c r="J19" s="8">
        <f t="shared" si="60"/>
        <v>0.95</v>
      </c>
      <c r="K19" s="8">
        <f t="shared" si="60"/>
        <v>0.95</v>
      </c>
      <c r="L19" s="8">
        <f t="shared" ref="L19:W19" si="61">L5/L3</f>
        <v>0.89989118607181717</v>
      </c>
      <c r="M19" s="8">
        <f t="shared" si="61"/>
        <v>0.87465181058495822</v>
      </c>
      <c r="N19" s="8">
        <f t="shared" si="61"/>
        <v>0.87140439932318103</v>
      </c>
      <c r="O19" s="8">
        <f t="shared" si="61"/>
        <v>0.89552238805970152</v>
      </c>
      <c r="P19" s="8">
        <f t="shared" si="61"/>
        <v>0.89639639639639634</v>
      </c>
      <c r="Q19" s="8">
        <f t="shared" si="61"/>
        <v>0.90796019900497504</v>
      </c>
      <c r="R19" s="8">
        <f t="shared" si="61"/>
        <v>0.89835164835164827</v>
      </c>
      <c r="S19" s="8">
        <f t="shared" si="61"/>
        <v>0.887459807073955</v>
      </c>
      <c r="T19" s="8">
        <f t="shared" si="61"/>
        <v>0.86111111111111116</v>
      </c>
      <c r="U19" s="8">
        <f t="shared" si="61"/>
        <v>0.86956521739130432</v>
      </c>
      <c r="V19" s="8">
        <f t="shared" si="61"/>
        <v>0.86178861788617889</v>
      </c>
      <c r="W19" s="8">
        <f t="shared" si="61"/>
        <v>0.84313725490196079</v>
      </c>
      <c r="X19" s="8"/>
      <c r="Y19" s="8"/>
      <c r="Z19" s="8"/>
      <c r="AA19" s="8"/>
      <c r="AC19" s="8">
        <f t="shared" ref="AC19:AP19" si="62">AC5/AC3</f>
        <v>0.95866141732283461</v>
      </c>
      <c r="AD19" s="8">
        <f t="shared" si="62"/>
        <v>0.9524603836530442</v>
      </c>
      <c r="AE19" s="8">
        <f t="shared" si="62"/>
        <v>0.9465449804432855</v>
      </c>
      <c r="AF19" s="8">
        <f t="shared" si="62"/>
        <v>0.9497151350012385</v>
      </c>
      <c r="AG19" s="8">
        <f t="shared" si="62"/>
        <v>0.88616981831664821</v>
      </c>
      <c r="AH19" s="8">
        <f t="shared" si="62"/>
        <v>0.89809335963182113</v>
      </c>
      <c r="AI19" s="8">
        <f t="shared" si="62"/>
        <v>0.85968586387434553</v>
      </c>
      <c r="AJ19" s="8">
        <f t="shared" si="62"/>
        <v>0.88</v>
      </c>
      <c r="AK19" s="8">
        <f t="shared" si="62"/>
        <v>0.88</v>
      </c>
      <c r="AL19" s="8">
        <f t="shared" si="62"/>
        <v>0.88</v>
      </c>
      <c r="AM19" s="8">
        <f t="shared" si="62"/>
        <v>0.88</v>
      </c>
      <c r="AN19" s="8">
        <f t="shared" si="62"/>
        <v>0.88</v>
      </c>
      <c r="AO19" s="8">
        <f t="shared" si="62"/>
        <v>0.88</v>
      </c>
      <c r="AP19" s="8">
        <f t="shared" si="62"/>
        <v>0.88</v>
      </c>
      <c r="AQ19" s="8">
        <f t="shared" ref="AQ19:AS19" si="63">AQ5/AQ3</f>
        <v>0.87999999999999989</v>
      </c>
      <c r="AR19" s="8">
        <f t="shared" si="63"/>
        <v>0.88</v>
      </c>
      <c r="AS19" s="8">
        <f t="shared" si="63"/>
        <v>0.88</v>
      </c>
    </row>
    <row r="20" spans="2:49" x14ac:dyDescent="0.3">
      <c r="B20" t="s">
        <v>35</v>
      </c>
      <c r="C20" s="8">
        <f t="shared" ref="C20:D20" si="64">C9/C3</f>
        <v>-0.24207492795389027</v>
      </c>
      <c r="D20" s="8">
        <f t="shared" si="64"/>
        <v>-0.34862385321100897</v>
      </c>
      <c r="E20" s="8"/>
      <c r="F20" s="8"/>
      <c r="G20" s="8">
        <f>G9/G3</f>
        <v>-0.64106351550960106</v>
      </c>
      <c r="H20" s="8">
        <f t="shared" ref="H20:K20" si="65">H9/H3</f>
        <v>-0.61529271206690539</v>
      </c>
      <c r="I20" s="8">
        <f t="shared" si="65"/>
        <v>-0.4657894736842107</v>
      </c>
      <c r="J20" s="8">
        <f t="shared" si="65"/>
        <v>-0.41428571428571431</v>
      </c>
      <c r="K20" s="8">
        <f t="shared" si="65"/>
        <v>-0.39166666666666666</v>
      </c>
      <c r="L20" s="8">
        <f t="shared" ref="L20:W20" si="66">L9/L3</f>
        <v>-0.87704026115342748</v>
      </c>
      <c r="M20" s="8">
        <f t="shared" si="66"/>
        <v>-0.78133704735376053</v>
      </c>
      <c r="N20" s="8">
        <f t="shared" si="66"/>
        <v>-0.48730964467005072</v>
      </c>
      <c r="O20" s="8">
        <f t="shared" si="66"/>
        <v>-0.47761194029850745</v>
      </c>
      <c r="P20" s="8">
        <f t="shared" si="66"/>
        <v>-0.72297297297297303</v>
      </c>
      <c r="Q20" s="8">
        <f t="shared" si="66"/>
        <v>-0.88805970149253732</v>
      </c>
      <c r="R20" s="8">
        <f t="shared" si="66"/>
        <v>-0.86538461538461542</v>
      </c>
      <c r="S20" s="8">
        <f t="shared" si="66"/>
        <v>-0.66237942122186488</v>
      </c>
      <c r="T20" s="8">
        <f t="shared" si="66"/>
        <v>-1.0674603174603174</v>
      </c>
      <c r="U20" s="8">
        <f t="shared" si="66"/>
        <v>-0.80237154150197632</v>
      </c>
      <c r="V20" s="8">
        <f t="shared" si="66"/>
        <v>-0.84959349593495925</v>
      </c>
      <c r="W20" s="8">
        <f t="shared" si="66"/>
        <v>-1.2745098039215688</v>
      </c>
      <c r="X20" s="8"/>
      <c r="Y20" s="8"/>
      <c r="Z20" s="8"/>
      <c r="AA20" s="8"/>
      <c r="AC20" s="8">
        <f t="shared" ref="AC20:AP20" si="67">AC9/AC3</f>
        <v>-0.50196850393700809</v>
      </c>
      <c r="AD20" s="8">
        <f t="shared" si="67"/>
        <v>-0.20683903252710595</v>
      </c>
      <c r="AE20" s="8">
        <f t="shared" si="67"/>
        <v>-0.43285528031290749</v>
      </c>
      <c r="AF20" s="8">
        <f t="shared" si="67"/>
        <v>-0.46135744364627213</v>
      </c>
      <c r="AG20" s="8">
        <f t="shared" si="67"/>
        <v>-0.69670003707823513</v>
      </c>
      <c r="AH20" s="8">
        <f t="shared" si="67"/>
        <v>-0.78829717291255752</v>
      </c>
      <c r="AI20" s="8">
        <f t="shared" si="67"/>
        <v>-0.98534031413612577</v>
      </c>
      <c r="AJ20" s="8">
        <f t="shared" si="67"/>
        <v>-0.74491530643671089</v>
      </c>
      <c r="AK20" s="8">
        <f t="shared" si="67"/>
        <v>-0.51207991843105383</v>
      </c>
      <c r="AL20" s="8">
        <f t="shared" si="67"/>
        <v>-0.346723839538357</v>
      </c>
      <c r="AM20" s="8">
        <f t="shared" si="67"/>
        <v>-0.22043799339149753</v>
      </c>
      <c r="AN20" s="8">
        <f t="shared" si="67"/>
        <v>-0.16511354505357057</v>
      </c>
      <c r="AO20" s="8">
        <f t="shared" si="67"/>
        <v>-0.13071501178209968</v>
      </c>
      <c r="AP20" s="8">
        <f t="shared" si="67"/>
        <v>-9.7208229931389709E-2</v>
      </c>
      <c r="AQ20" s="8">
        <f t="shared" ref="AQ20:AS20" si="68">AQ9/AQ3</f>
        <v>-7.4560305633413371E-2</v>
      </c>
      <c r="AR20" s="8">
        <f t="shared" si="68"/>
        <v>-5.2739567330886888E-2</v>
      </c>
      <c r="AS20" s="8">
        <f t="shared" si="68"/>
        <v>-3.1715520092737308E-2</v>
      </c>
      <c r="AV20" t="s">
        <v>39</v>
      </c>
      <c r="AW20" s="8">
        <v>-0.01</v>
      </c>
    </row>
    <row r="21" spans="2:49" x14ac:dyDescent="0.3">
      <c r="B21" t="s">
        <v>36</v>
      </c>
      <c r="C21" s="8"/>
      <c r="D21" s="8"/>
      <c r="E21" s="8"/>
      <c r="F21" s="8"/>
      <c r="G21" s="8">
        <f>G6/C6-1</f>
        <v>1.9411764705882355</v>
      </c>
      <c r="H21" s="8">
        <f t="shared" ref="H21:K21" si="69">H6/D6-1</f>
        <v>0.65909090909090895</v>
      </c>
      <c r="I21" s="8"/>
      <c r="J21" s="8"/>
      <c r="K21" s="8">
        <f t="shared" si="69"/>
        <v>0.60000000000000009</v>
      </c>
      <c r="L21" s="8">
        <f t="shared" ref="L21" si="70">L6/H6-1</f>
        <v>1.5616438356164384</v>
      </c>
      <c r="M21" s="8">
        <f t="shared" ref="M21" si="71">M6/I6-1</f>
        <v>1.0333333333333332</v>
      </c>
      <c r="N21" s="8">
        <f t="shared" ref="N21" si="72">N6/J6-1</f>
        <v>-0.28181818181818175</v>
      </c>
      <c r="O21" s="8">
        <f t="shared" ref="O21" si="73">O6/K6-1</f>
        <v>-0.53749999999999998</v>
      </c>
      <c r="P21" s="8">
        <f t="shared" ref="P21" si="74">P6/L6-1</f>
        <v>-0.52406417112299464</v>
      </c>
      <c r="Q21" s="8">
        <f t="shared" ref="Q21" si="75">Q6/M6-1</f>
        <v>-0.50819672131147542</v>
      </c>
      <c r="R21" s="8">
        <f t="shared" ref="R21" si="76">R6/N6-1</f>
        <v>0</v>
      </c>
      <c r="S21" s="8">
        <f t="shared" ref="S21" si="77">S6/O6-1</f>
        <v>-0.54054054054054057</v>
      </c>
      <c r="T21" s="8">
        <f t="shared" ref="T21" si="78">T6/P6-1</f>
        <v>-0.48314606741573041</v>
      </c>
      <c r="U21" s="8">
        <f t="shared" ref="U21" si="79">U6/Q6-1</f>
        <v>-0.52222222222222225</v>
      </c>
      <c r="V21" s="8">
        <f t="shared" ref="V21" si="80">V6/R6-1</f>
        <v>-0.40506329113924056</v>
      </c>
      <c r="W21" s="8">
        <f t="shared" ref="W21" si="81">W6/S6-1</f>
        <v>5.8823529411764719E-2</v>
      </c>
      <c r="X21" s="8"/>
      <c r="Y21" s="8"/>
      <c r="Z21" s="8"/>
      <c r="AA21" s="8"/>
      <c r="AC21" s="8"/>
      <c r="AD21" s="8">
        <f t="shared" ref="AD21:AP21" si="82">AD6/AC6-1</f>
        <v>0.49333333333333318</v>
      </c>
      <c r="AE21" s="8">
        <f t="shared" si="82"/>
        <v>1.0714285714285716</v>
      </c>
      <c r="AF21" s="8">
        <f t="shared" si="82"/>
        <v>0.86637931034482762</v>
      </c>
      <c r="AG21" s="8">
        <f t="shared" si="82"/>
        <v>0.20785219399538102</v>
      </c>
      <c r="AH21" s="8">
        <f t="shared" si="82"/>
        <v>-0.44168260038240925</v>
      </c>
      <c r="AI21" s="8">
        <f t="shared" si="82"/>
        <v>-0.41095890410958902</v>
      </c>
      <c r="AJ21" s="8">
        <f t="shared" si="82"/>
        <v>-0.30000000000000004</v>
      </c>
      <c r="AK21" s="8">
        <f t="shared" si="82"/>
        <v>5.0000000000000044E-2</v>
      </c>
      <c r="AL21" s="8">
        <f t="shared" si="82"/>
        <v>2.0000000000000018E-2</v>
      </c>
      <c r="AM21" s="8">
        <f t="shared" si="82"/>
        <v>2.0000000000000018E-2</v>
      </c>
      <c r="AN21" s="8">
        <f t="shared" si="82"/>
        <v>2.0000000000000018E-2</v>
      </c>
      <c r="AO21" s="8">
        <f t="shared" si="82"/>
        <v>2.0000000000000018E-2</v>
      </c>
      <c r="AP21" s="8">
        <f t="shared" si="82"/>
        <v>2.0000000000000018E-2</v>
      </c>
      <c r="AQ21" s="8">
        <f t="shared" ref="AQ21" si="83">AQ6/AP6-1</f>
        <v>2.0000000000000018E-2</v>
      </c>
      <c r="AR21" s="8">
        <f t="shared" ref="AR21" si="84">AR6/AQ6-1</f>
        <v>2.0000000000000018E-2</v>
      </c>
      <c r="AS21" s="8">
        <f t="shared" ref="AS21" si="85">AS6/AR6-1</f>
        <v>2.0000000000000018E-2</v>
      </c>
      <c r="AV21" t="s">
        <v>40</v>
      </c>
      <c r="AW21" s="8">
        <v>0.12</v>
      </c>
    </row>
    <row r="22" spans="2:49" x14ac:dyDescent="0.3">
      <c r="B22" t="s">
        <v>37</v>
      </c>
      <c r="C22" s="8">
        <f t="shared" ref="C22:D22" si="86">C7/C3</f>
        <v>0.96253602305475494</v>
      </c>
      <c r="D22" s="8">
        <f t="shared" si="86"/>
        <v>1.073394495412844</v>
      </c>
      <c r="E22" s="8"/>
      <c r="F22" s="8"/>
      <c r="G22" s="8">
        <f>G7/G3</f>
        <v>1.1757754800590841</v>
      </c>
      <c r="H22" s="8">
        <f t="shared" ref="H22:K22" si="87">H7/H3</f>
        <v>1.150537634408602</v>
      </c>
      <c r="I22" s="8">
        <f t="shared" si="87"/>
        <v>1.1000000000000001</v>
      </c>
      <c r="J22" s="8">
        <f t="shared" si="87"/>
        <v>1.05</v>
      </c>
      <c r="K22" s="8">
        <f t="shared" si="87"/>
        <v>1</v>
      </c>
      <c r="L22" s="8">
        <f t="shared" ref="L22:W22" si="88">L7/L3</f>
        <v>1.2763873775843306</v>
      </c>
      <c r="M22" s="8">
        <f t="shared" si="88"/>
        <v>1.0264623955431755</v>
      </c>
      <c r="N22" s="8">
        <f t="shared" si="88"/>
        <v>0.87140439932318103</v>
      </c>
      <c r="O22" s="8">
        <f t="shared" si="88"/>
        <v>0.73560767590618337</v>
      </c>
      <c r="P22" s="8">
        <f t="shared" si="88"/>
        <v>0.786036036036036</v>
      </c>
      <c r="Q22" s="8">
        <f t="shared" si="88"/>
        <v>0.8233830845771144</v>
      </c>
      <c r="R22" s="8">
        <f t="shared" si="88"/>
        <v>0.87637362637362637</v>
      </c>
      <c r="S22" s="8">
        <f t="shared" si="88"/>
        <v>0.74919614147909963</v>
      </c>
      <c r="T22" s="8">
        <f t="shared" si="88"/>
        <v>0.83333333333333337</v>
      </c>
      <c r="U22" s="8">
        <f t="shared" si="88"/>
        <v>0.82213438735177868</v>
      </c>
      <c r="V22" s="8">
        <f t="shared" si="88"/>
        <v>0.78455284552845528</v>
      </c>
      <c r="W22" s="8">
        <f t="shared" si="88"/>
        <v>0.93627450980392168</v>
      </c>
      <c r="X22" s="8"/>
      <c r="Y22" s="8"/>
      <c r="Z22" s="8"/>
      <c r="AA22" s="8"/>
      <c r="AC22" s="8">
        <f t="shared" ref="AC22:AP22" si="89">AC7/AC3</f>
        <v>1.0177165354330711</v>
      </c>
      <c r="AD22" s="8">
        <f t="shared" si="89"/>
        <v>0.92910758965804841</v>
      </c>
      <c r="AE22" s="8">
        <f t="shared" si="89"/>
        <v>1.0947414167753151</v>
      </c>
      <c r="AF22" s="8">
        <f t="shared" si="89"/>
        <v>1.0677483279663116</v>
      </c>
      <c r="AG22" s="8">
        <f t="shared" si="89"/>
        <v>1.0270671116054877</v>
      </c>
      <c r="AH22" s="8">
        <f t="shared" si="89"/>
        <v>0.80999342537804087</v>
      </c>
      <c r="AI22" s="8">
        <f t="shared" si="89"/>
        <v>0.8397905759162303</v>
      </c>
      <c r="AJ22" s="8">
        <f t="shared" si="89"/>
        <v>0.7</v>
      </c>
      <c r="AK22" s="8">
        <f t="shared" si="89"/>
        <v>0.6</v>
      </c>
      <c r="AL22" s="8">
        <f t="shared" si="89"/>
        <v>0.5</v>
      </c>
      <c r="AM22" s="8">
        <f t="shared" si="89"/>
        <v>0.4</v>
      </c>
      <c r="AN22" s="8">
        <f t="shared" si="89"/>
        <v>0.37</v>
      </c>
      <c r="AO22" s="8">
        <f t="shared" si="89"/>
        <v>0.36</v>
      </c>
      <c r="AP22" s="8">
        <f t="shared" si="89"/>
        <v>0.34999999999999992</v>
      </c>
      <c r="AQ22" s="8">
        <f t="shared" ref="AQ22:AS22" si="90">AQ7/AQ3</f>
        <v>0.35</v>
      </c>
      <c r="AR22" s="8">
        <f t="shared" si="90"/>
        <v>0.35</v>
      </c>
      <c r="AS22" s="8">
        <f t="shared" si="90"/>
        <v>0.35</v>
      </c>
      <c r="AV22" t="s">
        <v>41</v>
      </c>
      <c r="AW22" s="6">
        <f>NPV(AW21,AI14:FA14)</f>
        <v>-204.83304910034553</v>
      </c>
    </row>
    <row r="23" spans="2:49" x14ac:dyDescent="0.3">
      <c r="B23" t="s">
        <v>38</v>
      </c>
      <c r="C23" s="8"/>
      <c r="D23" s="8"/>
      <c r="E23" s="8"/>
      <c r="F23" s="8"/>
      <c r="G23" s="8">
        <f>G8/C8-1</f>
        <v>3.0909090909090908</v>
      </c>
      <c r="H23" s="8">
        <f t="shared" ref="H23:K23" si="91">H8/D8-1</f>
        <v>4.6875</v>
      </c>
      <c r="I23" s="8"/>
      <c r="J23" s="8"/>
      <c r="K23" s="8">
        <f t="shared" si="91"/>
        <v>0.38888888888888884</v>
      </c>
      <c r="L23" s="8">
        <f t="shared" ref="L23" si="92">L8/H8-1</f>
        <v>0</v>
      </c>
      <c r="M23" s="8">
        <f t="shared" ref="M23" si="93">M8/I8-1</f>
        <v>0.28095238095238084</v>
      </c>
      <c r="N23" s="8">
        <f t="shared" ref="N23" si="94">N8/J8-1</f>
        <v>-5.0000000000000044E-2</v>
      </c>
      <c r="O23" s="8">
        <f t="shared" ref="O23" si="95">O8/K8-1</f>
        <v>-9.9999999999999978E-2</v>
      </c>
      <c r="P23" s="8">
        <f t="shared" ref="P23" si="96">P8/L8-1</f>
        <v>2.9304029304029422E-2</v>
      </c>
      <c r="Q23" s="8">
        <f t="shared" ref="Q23" si="97">Q8/M8-1</f>
        <v>0.11895910780669161</v>
      </c>
      <c r="R23" s="8">
        <f t="shared" ref="R23" si="98">R8/N8-1</f>
        <v>0.16746411483253598</v>
      </c>
      <c r="S23" s="8">
        <f t="shared" ref="S23" si="99">S8/O8-1</f>
        <v>-4.4444444444444398E-2</v>
      </c>
      <c r="T23" s="8">
        <f t="shared" ref="T23" si="100">T8/P8-1</f>
        <v>-0.18149466192170827</v>
      </c>
      <c r="U23" s="8">
        <f t="shared" ref="U23" si="101">U8/Q8-1</f>
        <v>-0.4285714285714286</v>
      </c>
      <c r="V23" s="8">
        <f t="shared" ref="V23" si="102">V8/R8-1</f>
        <v>-0.25819672131147531</v>
      </c>
      <c r="W23" s="8">
        <f t="shared" ref="W23" si="103">W8/S8-1</f>
        <v>-4.6511627906976716E-2</v>
      </c>
      <c r="X23" s="8"/>
      <c r="Y23" s="8"/>
      <c r="Z23" s="8"/>
      <c r="AA23" s="8"/>
      <c r="AC23" s="8"/>
      <c r="AD23" s="8">
        <f t="shared" ref="AD23:AP23" si="104">AD8/AC8-1</f>
        <v>9.3333333333333268E-2</v>
      </c>
      <c r="AE23" s="8">
        <f t="shared" si="104"/>
        <v>1.5792682926829267</v>
      </c>
      <c r="AF23" s="8">
        <f t="shared" si="104"/>
        <v>1.252955082742317</v>
      </c>
      <c r="AG23" s="8">
        <f t="shared" si="104"/>
        <v>2.413431269674704E-2</v>
      </c>
      <c r="AH23" s="8">
        <f t="shared" si="104"/>
        <v>6.6598360655737654E-2</v>
      </c>
      <c r="AI23" s="8">
        <f t="shared" si="104"/>
        <v>-0.24303554274735817</v>
      </c>
      <c r="AJ23" s="8">
        <f t="shared" si="104"/>
        <v>-0.19999999999999996</v>
      </c>
      <c r="AK23" s="8">
        <f t="shared" si="104"/>
        <v>-0.15000000000000002</v>
      </c>
      <c r="AL23" s="8">
        <f t="shared" si="104"/>
        <v>-5.0000000000000044E-2</v>
      </c>
      <c r="AM23" s="8">
        <f t="shared" si="104"/>
        <v>1.0000000000000009E-2</v>
      </c>
      <c r="AN23" s="8">
        <f t="shared" si="104"/>
        <v>1.0000000000000009E-2</v>
      </c>
      <c r="AO23" s="8">
        <f t="shared" si="104"/>
        <v>1.0000000000000009E-2</v>
      </c>
      <c r="AP23" s="8">
        <f t="shared" si="104"/>
        <v>1.0000000000000009E-2</v>
      </c>
      <c r="AQ23" s="8">
        <f t="shared" ref="AQ23" si="105">AQ8/AP8-1</f>
        <v>1.0000000000000009E-2</v>
      </c>
      <c r="AR23" s="8">
        <f t="shared" ref="AR23" si="106">AR8/AQ8-1</f>
        <v>1.0000000000000009E-2</v>
      </c>
      <c r="AS23" s="8">
        <f t="shared" ref="AS23" si="107">AS8/AR8-1</f>
        <v>1.0000000000000009E-2</v>
      </c>
      <c r="AV23" t="s">
        <v>42</v>
      </c>
      <c r="AW23" s="6">
        <f>Main!D8</f>
        <v>239</v>
      </c>
    </row>
    <row r="24" spans="2:49" x14ac:dyDescent="0.3">
      <c r="B24" t="s">
        <v>30</v>
      </c>
      <c r="C24" s="8">
        <f t="shared" ref="C24:D24" si="108">C13/C12</f>
        <v>0</v>
      </c>
      <c r="D24" s="8">
        <f t="shared" si="108"/>
        <v>0</v>
      </c>
      <c r="E24" s="8"/>
      <c r="F24" s="8"/>
      <c r="G24" s="8">
        <f>G13/G12</f>
        <v>0</v>
      </c>
      <c r="H24" s="8">
        <f t="shared" ref="H24:K24" si="109">H13/H12</f>
        <v>0</v>
      </c>
      <c r="I24" s="8">
        <f t="shared" si="109"/>
        <v>0</v>
      </c>
      <c r="J24" s="8">
        <f t="shared" si="109"/>
        <v>0</v>
      </c>
      <c r="K24" s="8">
        <f t="shared" si="109"/>
        <v>0</v>
      </c>
      <c r="L24" s="8">
        <f t="shared" ref="L24:W24" si="110">L13/L12</f>
        <v>1.3351134846461949E-3</v>
      </c>
      <c r="M24" s="8">
        <f t="shared" si="110"/>
        <v>3.1847133757961785E-3</v>
      </c>
      <c r="N24" s="8">
        <f t="shared" si="110"/>
        <v>1.199040767386091E-3</v>
      </c>
      <c r="O24" s="8">
        <f t="shared" si="110"/>
        <v>-6.9783670621074664E-4</v>
      </c>
      <c r="P24" s="8">
        <f t="shared" si="110"/>
        <v>-2.8089887640449437E-3</v>
      </c>
      <c r="Q24" s="8">
        <f t="shared" si="110"/>
        <v>0</v>
      </c>
      <c r="R24" s="8">
        <f t="shared" si="110"/>
        <v>0</v>
      </c>
      <c r="S24" s="8">
        <f t="shared" si="110"/>
        <v>-6.4102564102564118E-3</v>
      </c>
      <c r="T24" s="8">
        <f t="shared" si="110"/>
        <v>0</v>
      </c>
      <c r="U24" s="8">
        <f t="shared" si="110"/>
        <v>-5.0505050505050509E-3</v>
      </c>
      <c r="V24" s="8">
        <f t="shared" si="110"/>
        <v>0</v>
      </c>
      <c r="W24" s="8">
        <f t="shared" si="110"/>
        <v>3.7878787878787884E-3</v>
      </c>
      <c r="X24" s="8"/>
      <c r="Y24" s="8"/>
      <c r="Z24" s="8"/>
      <c r="AA24" s="8"/>
      <c r="AC24" s="8">
        <f t="shared" ref="AC24:AP24" si="111">AC13/AC12</f>
        <v>0</v>
      </c>
      <c r="AD24" s="8">
        <f t="shared" si="111"/>
        <v>0</v>
      </c>
      <c r="AE24" s="8">
        <f t="shared" si="111"/>
        <v>-8.1766148814390834E-4</v>
      </c>
      <c r="AF24" s="8">
        <f t="shared" si="111"/>
        <v>0</v>
      </c>
      <c r="AG24" s="8">
        <f t="shared" si="111"/>
        <v>9.1053949465058051E-4</v>
      </c>
      <c r="AH24" s="8">
        <f t="shared" si="111"/>
        <v>-1.8726591760299628E-3</v>
      </c>
      <c r="AI24" s="8">
        <f t="shared" si="111"/>
        <v>0</v>
      </c>
      <c r="AJ24" s="8">
        <f t="shared" si="111"/>
        <v>0</v>
      </c>
      <c r="AK24" s="8">
        <f t="shared" si="111"/>
        <v>0</v>
      </c>
      <c r="AL24" s="8">
        <f t="shared" si="111"/>
        <v>0</v>
      </c>
      <c r="AM24" s="8">
        <f t="shared" si="111"/>
        <v>0</v>
      </c>
      <c r="AN24" s="8">
        <f t="shared" si="111"/>
        <v>0</v>
      </c>
      <c r="AO24" s="8">
        <f t="shared" si="111"/>
        <v>0</v>
      </c>
      <c r="AP24" s="8">
        <f t="shared" si="111"/>
        <v>0</v>
      </c>
      <c r="AQ24" s="8">
        <f t="shared" ref="AQ24:AS24" si="112">AQ13/AQ12</f>
        <v>0</v>
      </c>
      <c r="AR24" s="8">
        <f t="shared" si="112"/>
        <v>0</v>
      </c>
      <c r="AS24" s="8">
        <f t="shared" si="112"/>
        <v>0</v>
      </c>
      <c r="AV24" t="s">
        <v>43</v>
      </c>
      <c r="AW24" s="6">
        <f>AW22+AW23</f>
        <v>34.166950899654466</v>
      </c>
    </row>
    <row r="25" spans="2:49" x14ac:dyDescent="0.3">
      <c r="B25" t="s">
        <v>48</v>
      </c>
      <c r="C25" s="8">
        <f>C14/C3</f>
        <v>-0.25072046109510066</v>
      </c>
      <c r="D25" s="8">
        <f t="shared" ref="D25:K25" si="113">D14/D3</f>
        <v>-0.34403669724770619</v>
      </c>
      <c r="E25" s="8"/>
      <c r="F25" s="8"/>
      <c r="G25" s="8">
        <f t="shared" si="113"/>
        <v>-0.65140324963072371</v>
      </c>
      <c r="H25" s="8">
        <f t="shared" si="113"/>
        <v>-0.63918757467144549</v>
      </c>
      <c r="I25" s="8">
        <f t="shared" si="113"/>
        <v>-0.4657894736842107</v>
      </c>
      <c r="J25" s="8">
        <f t="shared" si="113"/>
        <v>-0.41428571428571431</v>
      </c>
      <c r="K25" s="8">
        <f t="shared" si="113"/>
        <v>-0.39166666666666666</v>
      </c>
      <c r="L25" s="8">
        <f t="shared" ref="L25:W25" si="114">L14/L3</f>
        <v>-1.6278563656147989</v>
      </c>
      <c r="M25" s="8">
        <f t="shared" si="114"/>
        <v>-0.871866295264624</v>
      </c>
      <c r="N25" s="8">
        <f t="shared" si="114"/>
        <v>-1.409475465313029</v>
      </c>
      <c r="O25" s="8">
        <f t="shared" si="114"/>
        <v>-3.0575692963752665</v>
      </c>
      <c r="P25" s="8">
        <f t="shared" si="114"/>
        <v>-0.80405405405405417</v>
      </c>
      <c r="Q25" s="8">
        <f t="shared" si="114"/>
        <v>-0.54726368159203986</v>
      </c>
      <c r="R25" s="8">
        <f t="shared" si="114"/>
        <v>-0.92307692307692291</v>
      </c>
      <c r="S25" s="8">
        <f t="shared" si="114"/>
        <v>-0.50482315112540188</v>
      </c>
      <c r="T25" s="8">
        <f t="shared" si="114"/>
        <v>-1.0595238095238093</v>
      </c>
      <c r="U25" s="8">
        <f t="shared" si="114"/>
        <v>-0.7865612648221344</v>
      </c>
      <c r="V25" s="8">
        <f t="shared" si="114"/>
        <v>-0.85365853658536583</v>
      </c>
      <c r="W25" s="8">
        <f t="shared" si="114"/>
        <v>-1.2892156862745097</v>
      </c>
      <c r="X25" s="8"/>
      <c r="Y25" s="8"/>
      <c r="Z25" s="8"/>
      <c r="AA25" s="8"/>
      <c r="AC25" s="8">
        <f t="shared" ref="AC25:AP25" si="115">AC14/AC3</f>
        <v>-0.54724409448818911</v>
      </c>
      <c r="AD25" s="8">
        <f t="shared" si="115"/>
        <v>-0.1968306922435363</v>
      </c>
      <c r="AE25" s="8">
        <f t="shared" si="115"/>
        <v>-0.5319426336375489</v>
      </c>
      <c r="AF25" s="8">
        <f t="shared" si="115"/>
        <v>-0.46631161753777572</v>
      </c>
      <c r="AG25" s="8">
        <f t="shared" si="115"/>
        <v>-1.6273637374860959</v>
      </c>
      <c r="AH25" s="8">
        <f t="shared" si="115"/>
        <v>-0.7034845496383958</v>
      </c>
      <c r="AI25" s="8">
        <f t="shared" si="115"/>
        <v>-0.98324607329842939</v>
      </c>
      <c r="AJ25" s="8">
        <f t="shared" si="115"/>
        <v>-0.7387557745611335</v>
      </c>
      <c r="AK25" s="8">
        <f t="shared" si="115"/>
        <v>-0.50310972637924189</v>
      </c>
      <c r="AL25" s="8">
        <f t="shared" si="115"/>
        <v>-0.33390927946434013</v>
      </c>
      <c r="AM25" s="8">
        <f t="shared" si="115"/>
        <v>-0.2021314790000448</v>
      </c>
      <c r="AN25" s="8">
        <f t="shared" si="115"/>
        <v>-0.13896138163720956</v>
      </c>
      <c r="AO25" s="8">
        <f t="shared" si="115"/>
        <v>-9.3354778330155389E-2</v>
      </c>
      <c r="AP25" s="8">
        <f t="shared" si="115"/>
        <v>-5.9847996479445408E-2</v>
      </c>
      <c r="AQ25" s="8">
        <f t="shared" ref="AQ25:AS25" si="116">AQ14/AQ3</f>
        <v>-3.7200072181469063E-2</v>
      </c>
      <c r="AR25" s="8">
        <f t="shared" si="116"/>
        <v>-1.5379333878942582E-2</v>
      </c>
      <c r="AS25" s="8">
        <f t="shared" si="116"/>
        <v>5.6447133592069975E-3</v>
      </c>
      <c r="AV25" t="s">
        <v>44</v>
      </c>
      <c r="AW25" s="10">
        <f>AW24/AP15</f>
        <v>1.9413040283894583</v>
      </c>
    </row>
    <row r="26" spans="2:49" x14ac:dyDescent="0.3">
      <c r="AV26" t="s">
        <v>45</v>
      </c>
      <c r="AW26" s="10">
        <f>Main!D3</f>
        <v>4.07</v>
      </c>
    </row>
    <row r="27" spans="2:49" x14ac:dyDescent="0.3">
      <c r="AV27" s="1" t="s">
        <v>46</v>
      </c>
      <c r="AW27" s="9">
        <f>AW25/AW26-1</f>
        <v>-0.52302112324583339</v>
      </c>
    </row>
    <row r="28" spans="2:49" x14ac:dyDescent="0.3">
      <c r="AV28" t="s">
        <v>47</v>
      </c>
      <c r="AW28" s="4" t="s">
        <v>65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 Mniszek</cp:lastModifiedBy>
  <dcterms:created xsi:type="dcterms:W3CDTF">2021-04-24T11:42:32Z</dcterms:created>
  <dcterms:modified xsi:type="dcterms:W3CDTF">2025-04-04T09:42:36Z</dcterms:modified>
</cp:coreProperties>
</file>