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8FBD2397-061E-4EFB-A499-34381BA43271}" xr6:coauthVersionLast="47" xr6:coauthVersionMax="47" xr10:uidLastSave="{00000000-0000-0000-0000-000000000000}"/>
  <bookViews>
    <workbookView xWindow="-108" yWindow="-108" windowWidth="23256" windowHeight="12576" activeTab="1" xr2:uid="{E254F39D-7CC4-4B6C-BDE0-D6C4D40F2C9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2" l="1"/>
  <c r="AN13" i="2"/>
  <c r="AM13" i="2"/>
  <c r="AL13" i="2"/>
  <c r="AK13" i="2"/>
  <c r="AJ13" i="2"/>
  <c r="AI13" i="2"/>
  <c r="AH13" i="2"/>
  <c r="AG13" i="2"/>
  <c r="AF13" i="2"/>
  <c r="AN7" i="2"/>
  <c r="AM7" i="2"/>
  <c r="AL7" i="2"/>
  <c r="AK7" i="2"/>
  <c r="AJ7" i="2"/>
  <c r="AI7" i="2"/>
  <c r="AH7" i="2"/>
  <c r="AG7" i="2"/>
  <c r="AF7" i="2"/>
  <c r="AF6" i="2"/>
  <c r="AG6" i="2" s="1"/>
  <c r="AH6" i="2" s="1"/>
  <c r="AI6" i="2" s="1"/>
  <c r="AJ6" i="2" s="1"/>
  <c r="AK6" i="2" s="1"/>
  <c r="AL6" i="2" s="1"/>
  <c r="AM6" i="2" s="1"/>
  <c r="AN6" i="2" s="1"/>
  <c r="AE6" i="2"/>
  <c r="AN5" i="2"/>
  <c r="AM5" i="2"/>
  <c r="AL5" i="2"/>
  <c r="AK5" i="2"/>
  <c r="AJ5" i="2"/>
  <c r="AI5" i="2"/>
  <c r="AH5" i="2"/>
  <c r="AG5" i="2"/>
  <c r="AF5" i="2"/>
  <c r="AE5" i="2"/>
  <c r="AD5" i="2"/>
  <c r="V15" i="2"/>
  <c r="U15" i="2"/>
  <c r="T15" i="2"/>
  <c r="S15" i="2"/>
  <c r="R15" i="2"/>
  <c r="AN15" i="2"/>
  <c r="AM15" i="2"/>
  <c r="AL15" i="2"/>
  <c r="AK15" i="2"/>
  <c r="AJ15" i="2"/>
  <c r="AI15" i="2"/>
  <c r="AH15" i="2"/>
  <c r="AG15" i="2"/>
  <c r="AF15" i="2"/>
  <c r="AE15" i="2"/>
  <c r="AD15" i="2"/>
  <c r="AD13" i="2"/>
  <c r="AD11" i="2"/>
  <c r="AD10" i="2"/>
  <c r="AD8" i="2"/>
  <c r="AD7" i="2"/>
  <c r="AD6" i="2"/>
  <c r="AD4" i="2"/>
  <c r="AD3" i="2"/>
  <c r="V25" i="2"/>
  <c r="U25" i="2"/>
  <c r="T25" i="2"/>
  <c r="S25" i="2"/>
  <c r="V24" i="2"/>
  <c r="U24" i="2"/>
  <c r="T24" i="2"/>
  <c r="S24" i="2"/>
  <c r="V23" i="2"/>
  <c r="U23" i="2"/>
  <c r="T23" i="2"/>
  <c r="S23" i="2"/>
  <c r="V22" i="2"/>
  <c r="U22" i="2"/>
  <c r="T22" i="2"/>
  <c r="S22" i="2"/>
  <c r="V21" i="2"/>
  <c r="U21" i="2"/>
  <c r="T21" i="2"/>
  <c r="S21" i="2"/>
  <c r="V20" i="2"/>
  <c r="U20" i="2"/>
  <c r="T20" i="2"/>
  <c r="S20" i="2"/>
  <c r="V19" i="2"/>
  <c r="U19" i="2"/>
  <c r="T19" i="2"/>
  <c r="S19" i="2"/>
  <c r="V18" i="2"/>
  <c r="U18" i="2"/>
  <c r="T18" i="2"/>
  <c r="S18" i="2"/>
  <c r="V14" i="2"/>
  <c r="V16" i="2" s="1"/>
  <c r="U14" i="2"/>
  <c r="U16" i="2" s="1"/>
  <c r="T14" i="2"/>
  <c r="T16" i="2" s="1"/>
  <c r="S14" i="2"/>
  <c r="V13" i="2"/>
  <c r="U13" i="2"/>
  <c r="T13" i="2"/>
  <c r="S13" i="2"/>
  <c r="V12" i="2"/>
  <c r="U12" i="2"/>
  <c r="T12" i="2"/>
  <c r="S12" i="2"/>
  <c r="V11" i="2"/>
  <c r="U11" i="2"/>
  <c r="T11" i="2"/>
  <c r="S11" i="2"/>
  <c r="V10" i="2"/>
  <c r="U10" i="2"/>
  <c r="T10" i="2"/>
  <c r="S10" i="2"/>
  <c r="V9" i="2"/>
  <c r="U9" i="2"/>
  <c r="T9" i="2"/>
  <c r="S9" i="2"/>
  <c r="V8" i="2"/>
  <c r="U8" i="2"/>
  <c r="T8" i="2"/>
  <c r="S8" i="2"/>
  <c r="V7" i="2"/>
  <c r="U7" i="2"/>
  <c r="T7" i="2"/>
  <c r="S7" i="2"/>
  <c r="V6" i="2"/>
  <c r="U6" i="2"/>
  <c r="T6" i="2"/>
  <c r="S6" i="2"/>
  <c r="V5" i="2"/>
  <c r="V4" i="2" s="1"/>
  <c r="U5" i="2"/>
  <c r="U4" i="2" s="1"/>
  <c r="T5" i="2"/>
  <c r="T4" i="2" s="1"/>
  <c r="S5" i="2"/>
  <c r="S4" i="2"/>
  <c r="V3" i="2"/>
  <c r="U3" i="2"/>
  <c r="T3" i="2"/>
  <c r="S3" i="2"/>
  <c r="R5" i="2"/>
  <c r="D7" i="1"/>
  <c r="D6" i="1"/>
  <c r="D4" i="1"/>
  <c r="R20" i="2"/>
  <c r="Q5" i="2"/>
  <c r="AQ26" i="2"/>
  <c r="R22" i="2"/>
  <c r="Q22" i="2"/>
  <c r="AC11" i="2"/>
  <c r="AC10" i="2"/>
  <c r="Y22" i="2"/>
  <c r="Y20" i="2"/>
  <c r="Y18" i="2"/>
  <c r="Y25" i="2"/>
  <c r="X25" i="2"/>
  <c r="Y24" i="2"/>
  <c r="X24" i="2"/>
  <c r="Y23" i="2"/>
  <c r="X23" i="2"/>
  <c r="Y21" i="2"/>
  <c r="X21" i="2"/>
  <c r="Y19" i="2"/>
  <c r="X19" i="2"/>
  <c r="AB13" i="2"/>
  <c r="AB11" i="2"/>
  <c r="AB10" i="2"/>
  <c r="AB8" i="2"/>
  <c r="AB7" i="2"/>
  <c r="AB6" i="2"/>
  <c r="AB4" i="2"/>
  <c r="AB3" i="2"/>
  <c r="AA13" i="2"/>
  <c r="AA11" i="2"/>
  <c r="AA10" i="2"/>
  <c r="AA8" i="2"/>
  <c r="AA7" i="2"/>
  <c r="AA6" i="2"/>
  <c r="AA4" i="2"/>
  <c r="AA3" i="2"/>
  <c r="Z13" i="2"/>
  <c r="Z10" i="2"/>
  <c r="Z11" i="2"/>
  <c r="Z8" i="2"/>
  <c r="Z22" i="2" s="1"/>
  <c r="Z7" i="2"/>
  <c r="Z6" i="2"/>
  <c r="Z20" i="2" s="1"/>
  <c r="Z4" i="2"/>
  <c r="Z3" i="2"/>
  <c r="Z18" i="2" s="1"/>
  <c r="Q20" i="2"/>
  <c r="Q18" i="2"/>
  <c r="O22" i="2"/>
  <c r="N22" i="2"/>
  <c r="M22" i="2"/>
  <c r="L22" i="2"/>
  <c r="K22" i="2"/>
  <c r="J22" i="2"/>
  <c r="I22" i="2"/>
  <c r="H22" i="2"/>
  <c r="G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O20" i="2"/>
  <c r="N20" i="2"/>
  <c r="M20" i="2"/>
  <c r="L20" i="2"/>
  <c r="K20" i="2"/>
  <c r="J20" i="2"/>
  <c r="I20" i="2"/>
  <c r="H20" i="2"/>
  <c r="G20" i="2"/>
  <c r="O18" i="2"/>
  <c r="N18" i="2"/>
  <c r="M18" i="2"/>
  <c r="L18" i="2"/>
  <c r="K18" i="2"/>
  <c r="J18" i="2"/>
  <c r="I18" i="2"/>
  <c r="H18" i="2"/>
  <c r="G18" i="2"/>
  <c r="P21" i="2"/>
  <c r="P22" i="2"/>
  <c r="P20" i="2"/>
  <c r="P18" i="2"/>
  <c r="C5" i="2"/>
  <c r="C9" i="2" s="1"/>
  <c r="C12" i="2" s="1"/>
  <c r="C14" i="2" s="1"/>
  <c r="C16" i="2" s="1"/>
  <c r="E5" i="2"/>
  <c r="E9" i="2" s="1"/>
  <c r="E12" i="2" s="1"/>
  <c r="E14" i="2" s="1"/>
  <c r="E16" i="2" s="1"/>
  <c r="F5" i="2"/>
  <c r="F9" i="2" s="1"/>
  <c r="F12" i="2" s="1"/>
  <c r="F14" i="2" s="1"/>
  <c r="F16" i="2" s="1"/>
  <c r="D5" i="2"/>
  <c r="D9" i="2" s="1"/>
  <c r="D12" i="2" s="1"/>
  <c r="D14" i="2" s="1"/>
  <c r="D16" i="2" s="1"/>
  <c r="G5" i="2"/>
  <c r="G9" i="2" s="1"/>
  <c r="G12" i="2" s="1"/>
  <c r="G14" i="2" s="1"/>
  <c r="G16" i="2" s="1"/>
  <c r="H5" i="2"/>
  <c r="H9" i="2" s="1"/>
  <c r="H12" i="2" s="1"/>
  <c r="H14" i="2" s="1"/>
  <c r="H16" i="2" s="1"/>
  <c r="I5" i="2"/>
  <c r="I9" i="2" s="1"/>
  <c r="I12" i="2" s="1"/>
  <c r="I14" i="2" s="1"/>
  <c r="I16" i="2" s="1"/>
  <c r="M5" i="2"/>
  <c r="M9" i="2" s="1"/>
  <c r="M12" i="2" s="1"/>
  <c r="M14" i="2" s="1"/>
  <c r="M16" i="2" s="1"/>
  <c r="J5" i="2"/>
  <c r="J9" i="2" s="1"/>
  <c r="J12" i="2" s="1"/>
  <c r="J14" i="2" s="1"/>
  <c r="J16" i="2" s="1"/>
  <c r="N5" i="2"/>
  <c r="N9" i="2" s="1"/>
  <c r="N12" i="2" s="1"/>
  <c r="N14" i="2" s="1"/>
  <c r="N16" i="2" s="1"/>
  <c r="K5" i="2"/>
  <c r="K9" i="2" s="1"/>
  <c r="K12" i="2" s="1"/>
  <c r="K14" i="2" s="1"/>
  <c r="K16" i="2" s="1"/>
  <c r="O5" i="2"/>
  <c r="O9" i="2" s="1"/>
  <c r="O12" i="2" s="1"/>
  <c r="O14" i="2" s="1"/>
  <c r="O16" i="2" s="1"/>
  <c r="L5" i="2"/>
  <c r="L9" i="2" s="1"/>
  <c r="L12" i="2" s="1"/>
  <c r="L14" i="2" s="1"/>
  <c r="L16" i="2" s="1"/>
  <c r="P5" i="2"/>
  <c r="P9" i="2" s="1"/>
  <c r="P12" i="2" s="1"/>
  <c r="P14" i="2" s="1"/>
  <c r="P16" i="2" s="1"/>
  <c r="G3" i="1"/>
  <c r="D5" i="1"/>
  <c r="S16" i="2" l="1"/>
  <c r="AE11" i="2"/>
  <c r="AF11" i="2" s="1"/>
  <c r="AG11" i="2" s="1"/>
  <c r="AH11" i="2" s="1"/>
  <c r="AI11" i="2" s="1"/>
  <c r="AJ11" i="2" s="1"/>
  <c r="AK11" i="2" s="1"/>
  <c r="AL11" i="2" s="1"/>
  <c r="AM11" i="2" s="1"/>
  <c r="AN11" i="2" s="1"/>
  <c r="AE10" i="2"/>
  <c r="AF10" i="2" s="1"/>
  <c r="AG10" i="2" s="1"/>
  <c r="AH10" i="2" s="1"/>
  <c r="AI10" i="2" s="1"/>
  <c r="AJ10" i="2" s="1"/>
  <c r="AK10" i="2" s="1"/>
  <c r="AL10" i="2" s="1"/>
  <c r="AM10" i="2" s="1"/>
  <c r="AN10" i="2" s="1"/>
  <c r="Z21" i="2"/>
  <c r="AB20" i="2"/>
  <c r="J23" i="2"/>
  <c r="D19" i="2"/>
  <c r="C25" i="2"/>
  <c r="F19" i="2"/>
  <c r="AA18" i="2"/>
  <c r="AB18" i="2"/>
  <c r="C24" i="2"/>
  <c r="I25" i="2"/>
  <c r="AA22" i="2"/>
  <c r="AB22" i="2"/>
  <c r="I19" i="2"/>
  <c r="F24" i="2"/>
  <c r="E24" i="2"/>
  <c r="N25" i="2"/>
  <c r="N19" i="2"/>
  <c r="K24" i="2"/>
  <c r="AC7" i="2"/>
  <c r="O19" i="2"/>
  <c r="C23" i="2"/>
  <c r="M24" i="2"/>
  <c r="E23" i="2"/>
  <c r="N24" i="2"/>
  <c r="AA5" i="2"/>
  <c r="AA19" i="2" s="1"/>
  <c r="AA20" i="2"/>
  <c r="K23" i="2"/>
  <c r="F25" i="2"/>
  <c r="AA21" i="2"/>
  <c r="AB21" i="2"/>
  <c r="AC3" i="2"/>
  <c r="AE3" i="2" s="1"/>
  <c r="D8" i="1"/>
  <c r="D9" i="1" s="1"/>
  <c r="D10" i="1" s="1"/>
  <c r="Q9" i="2"/>
  <c r="AC4" i="2"/>
  <c r="H19" i="2"/>
  <c r="D23" i="2"/>
  <c r="L23" i="2"/>
  <c r="G24" i="2"/>
  <c r="O24" i="2"/>
  <c r="J25" i="2"/>
  <c r="Q21" i="2"/>
  <c r="H24" i="2"/>
  <c r="J19" i="2"/>
  <c r="F23" i="2"/>
  <c r="N23" i="2"/>
  <c r="I24" i="2"/>
  <c r="D25" i="2"/>
  <c r="L25" i="2"/>
  <c r="G19" i="2"/>
  <c r="P23" i="2"/>
  <c r="M23" i="2"/>
  <c r="K25" i="2"/>
  <c r="C19" i="2"/>
  <c r="K19" i="2"/>
  <c r="G23" i="2"/>
  <c r="O23" i="2"/>
  <c r="J24" i="2"/>
  <c r="E25" i="2"/>
  <c r="M25" i="2"/>
  <c r="AB5" i="2"/>
  <c r="AB19" i="2" s="1"/>
  <c r="H25" i="2"/>
  <c r="L19" i="2"/>
  <c r="H23" i="2"/>
  <c r="P19" i="2"/>
  <c r="E19" i="2"/>
  <c r="M19" i="2"/>
  <c r="I23" i="2"/>
  <c r="D24" i="2"/>
  <c r="L24" i="2"/>
  <c r="G25" i="2"/>
  <c r="O25" i="2"/>
  <c r="P24" i="2"/>
  <c r="P25" i="2"/>
  <c r="AC8" i="2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C6" i="2"/>
  <c r="Q19" i="2"/>
  <c r="R21" i="2"/>
  <c r="R18" i="2"/>
  <c r="R19" i="2"/>
  <c r="Z5" i="2"/>
  <c r="AE18" i="2" l="1"/>
  <c r="AF3" i="2"/>
  <c r="AG3" i="2" s="1"/>
  <c r="AH3" i="2" s="1"/>
  <c r="AI3" i="2" s="1"/>
  <c r="AJ3" i="2" s="1"/>
  <c r="AK3" i="2" s="1"/>
  <c r="AL3" i="2" s="1"/>
  <c r="AM3" i="2" s="1"/>
  <c r="AN3" i="2" s="1"/>
  <c r="R9" i="2"/>
  <c r="R12" i="2" s="1"/>
  <c r="R24" i="2" s="1"/>
  <c r="AC5" i="2"/>
  <c r="AC19" i="2" s="1"/>
  <c r="AA9" i="2"/>
  <c r="AA12" i="2" s="1"/>
  <c r="AC18" i="2"/>
  <c r="AB9" i="2"/>
  <c r="AB23" i="2" s="1"/>
  <c r="AE21" i="2"/>
  <c r="AD21" i="2"/>
  <c r="AC21" i="2"/>
  <c r="AD18" i="2"/>
  <c r="AQ22" i="2"/>
  <c r="AC22" i="2"/>
  <c r="Z9" i="2"/>
  <c r="Z19" i="2"/>
  <c r="Q12" i="2"/>
  <c r="Q23" i="2"/>
  <c r="AC20" i="2"/>
  <c r="R23" i="2" l="1"/>
  <c r="AB12" i="2"/>
  <c r="AC9" i="2"/>
  <c r="AC12" i="2" s="1"/>
  <c r="AA23" i="2"/>
  <c r="AF21" i="2"/>
  <c r="AD22" i="2"/>
  <c r="Q14" i="2"/>
  <c r="Z12" i="2"/>
  <c r="Z23" i="2"/>
  <c r="AE22" i="2"/>
  <c r="AB14" i="2"/>
  <c r="AB24" i="2"/>
  <c r="AE4" i="2"/>
  <c r="AE9" i="2"/>
  <c r="AE19" i="2"/>
  <c r="AF18" i="2"/>
  <c r="AE20" i="2"/>
  <c r="R14" i="2"/>
  <c r="AA14" i="2"/>
  <c r="AA24" i="2"/>
  <c r="AD20" i="2"/>
  <c r="AC23" i="2" l="1"/>
  <c r="AG4" i="2"/>
  <c r="AG21" i="2"/>
  <c r="AF9" i="2"/>
  <c r="AF19" i="2"/>
  <c r="AF4" i="2"/>
  <c r="AF22" i="2"/>
  <c r="AA16" i="2"/>
  <c r="AA25" i="2"/>
  <c r="Z14" i="2"/>
  <c r="Z24" i="2"/>
  <c r="AE12" i="2"/>
  <c r="AE13" i="2" s="1"/>
  <c r="AE23" i="2"/>
  <c r="Q16" i="2"/>
  <c r="Q25" i="2"/>
  <c r="AB16" i="2"/>
  <c r="AB25" i="2"/>
  <c r="AG18" i="2"/>
  <c r="R16" i="2"/>
  <c r="R25" i="2"/>
  <c r="AF20" i="2"/>
  <c r="AC13" i="2"/>
  <c r="Q24" i="2"/>
  <c r="AH21" i="2" l="1"/>
  <c r="Z16" i="2"/>
  <c r="Z25" i="2"/>
  <c r="AG20" i="2"/>
  <c r="AG22" i="2"/>
  <c r="AH18" i="2"/>
  <c r="AE14" i="2"/>
  <c r="AE24" i="2"/>
  <c r="AC24" i="2"/>
  <c r="AC14" i="2"/>
  <c r="AG9" i="2"/>
  <c r="AG19" i="2"/>
  <c r="AF12" i="2"/>
  <c r="AF23" i="2"/>
  <c r="AI4" i="2" l="1"/>
  <c r="AI21" i="2"/>
  <c r="AF24" i="2"/>
  <c r="AG12" i="2"/>
  <c r="AG23" i="2"/>
  <c r="AH9" i="2"/>
  <c r="AH22" i="2"/>
  <c r="AI18" i="2"/>
  <c r="AH4" i="2"/>
  <c r="AH19" i="2"/>
  <c r="AC25" i="2"/>
  <c r="AC16" i="2"/>
  <c r="AE25" i="2"/>
  <c r="AE16" i="2"/>
  <c r="AH20" i="2"/>
  <c r="AJ4" i="2" l="1"/>
  <c r="AJ21" i="2"/>
  <c r="AI22" i="2"/>
  <c r="AH12" i="2"/>
  <c r="AH23" i="2"/>
  <c r="AI9" i="2"/>
  <c r="AI19" i="2"/>
  <c r="AI20" i="2"/>
  <c r="AJ18" i="2"/>
  <c r="AG14" i="2"/>
  <c r="AG24" i="2"/>
  <c r="AF14" i="2"/>
  <c r="AK4" i="2" l="1"/>
  <c r="AK21" i="2"/>
  <c r="AI12" i="2"/>
  <c r="AI23" i="2"/>
  <c r="AG16" i="2"/>
  <c r="AG25" i="2"/>
  <c r="AH24" i="2"/>
  <c r="AF16" i="2"/>
  <c r="AF25" i="2"/>
  <c r="AJ20" i="2"/>
  <c r="AJ9" i="2"/>
  <c r="AJ19" i="2"/>
  <c r="AK18" i="2"/>
  <c r="AJ22" i="2"/>
  <c r="AL4" i="2" l="1"/>
  <c r="AL21" i="2"/>
  <c r="AH14" i="2"/>
  <c r="AH16" i="2" s="1"/>
  <c r="AL18" i="2"/>
  <c r="AI24" i="2"/>
  <c r="AK9" i="2"/>
  <c r="AK19" i="2"/>
  <c r="AJ12" i="2"/>
  <c r="AJ23" i="2"/>
  <c r="AK22" i="2"/>
  <c r="AK20" i="2"/>
  <c r="AM21" i="2" l="1"/>
  <c r="AH25" i="2"/>
  <c r="AI14" i="2"/>
  <c r="AI25" i="2" s="1"/>
  <c r="AK12" i="2"/>
  <c r="AK23" i="2"/>
  <c r="AL20" i="2"/>
  <c r="AL22" i="2"/>
  <c r="AJ14" i="2"/>
  <c r="AJ24" i="2"/>
  <c r="AM18" i="2"/>
  <c r="AL9" i="2"/>
  <c r="AL19" i="2"/>
  <c r="AN19" i="2" l="1"/>
  <c r="AN21" i="2"/>
  <c r="AI16" i="2"/>
  <c r="AK24" i="2"/>
  <c r="AM22" i="2"/>
  <c r="AN20" i="2"/>
  <c r="AM20" i="2"/>
  <c r="AL12" i="2"/>
  <c r="AL23" i="2"/>
  <c r="AM4" i="2"/>
  <c r="AM9" i="2"/>
  <c r="AM19" i="2"/>
  <c r="AN18" i="2"/>
  <c r="AJ16" i="2"/>
  <c r="AJ25" i="2"/>
  <c r="AK14" i="2" l="1"/>
  <c r="AK16" i="2" s="1"/>
  <c r="AN4" i="2"/>
  <c r="AN9" i="2"/>
  <c r="AN22" i="2"/>
  <c r="AM12" i="2"/>
  <c r="AM23" i="2"/>
  <c r="AL14" i="2"/>
  <c r="AL24" i="2"/>
  <c r="AK25" i="2" l="1"/>
  <c r="AL16" i="2"/>
  <c r="AL25" i="2"/>
  <c r="AM14" i="2"/>
  <c r="AM24" i="2"/>
  <c r="AN12" i="2"/>
  <c r="AN23" i="2"/>
  <c r="AN24" i="2" l="1"/>
  <c r="AM16" i="2"/>
  <c r="AM25" i="2"/>
  <c r="AN14" i="2" l="1"/>
  <c r="AN16" i="2" l="1"/>
  <c r="AO14" i="2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AN25" i="2"/>
  <c r="AD9" i="2" l="1"/>
  <c r="AD12" i="2" s="1"/>
  <c r="AD19" i="2"/>
  <c r="AD24" i="2" l="1"/>
  <c r="AD23" i="2"/>
  <c r="AD14" i="2" l="1"/>
  <c r="AQ21" i="2" l="1"/>
  <c r="AQ23" i="2" s="1"/>
  <c r="AQ24" i="2" s="1"/>
  <c r="AQ25" i="2" s="1"/>
  <c r="AQ27" i="2" s="1"/>
  <c r="AD16" i="2"/>
  <c r="AD25" i="2"/>
</calcChain>
</file>

<file path=xl/sharedStrings.xml><?xml version="1.0" encoding="utf-8"?>
<sst xmlns="http://schemas.openxmlformats.org/spreadsheetml/2006/main" count="66" uniqueCount="64">
  <si>
    <t>SPOT</t>
  </si>
  <si>
    <t>Price</t>
  </si>
  <si>
    <t>Shares</t>
  </si>
  <si>
    <t>MC</t>
  </si>
  <si>
    <t>Cash</t>
  </si>
  <si>
    <t>Debt</t>
  </si>
  <si>
    <t>Net Cash</t>
  </si>
  <si>
    <t>EV</t>
  </si>
  <si>
    <t>Net Cash USD</t>
  </si>
  <si>
    <t>USD/EUR</t>
  </si>
  <si>
    <t>Revenue</t>
  </si>
  <si>
    <t>Last checked</t>
  </si>
  <si>
    <t>Today</t>
  </si>
  <si>
    <t>Earnings</t>
  </si>
  <si>
    <t>Cost of sales</t>
  </si>
  <si>
    <t>Gross profit</t>
  </si>
  <si>
    <t>R&amp;D</t>
  </si>
  <si>
    <t>S&amp;M</t>
  </si>
  <si>
    <t>G&amp;A</t>
  </si>
  <si>
    <t>Operating profit</t>
  </si>
  <si>
    <t>Finance income</t>
  </si>
  <si>
    <t>Finance expense</t>
  </si>
  <si>
    <t>Pretax profit</t>
  </si>
  <si>
    <t>Taxes</t>
  </si>
  <si>
    <t>Net profit</t>
  </si>
  <si>
    <t>EPS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</si>
  <si>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</si>
  <si>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</si>
  <si>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</si>
  <si>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</si>
  <si>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</si>
  <si>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</si>
  <si>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</si>
  <si>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</si>
  <si>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</si>
  <si>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</si>
  <si>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</si>
  <si>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</si>
  <si>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Q121</t>
  </si>
  <si>
    <t>Q221</t>
  </si>
  <si>
    <t>Q321</t>
  </si>
  <si>
    <t>Q421</t>
  </si>
  <si>
    <t>Revenue y/y</t>
  </si>
  <si>
    <t>Gross Margin</t>
  </si>
  <si>
    <t>R&amp;D y/y</t>
  </si>
  <si>
    <t>S&amp;M Margin</t>
  </si>
  <si>
    <t>G&amp;A y/y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</si>
  <si>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</si>
  <si>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</si>
  <si>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</si>
  <si>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</si>
  <si>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</si>
  <si>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</si>
  <si>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</si>
  <si>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</si>
  <si>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</si>
  <si>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</si>
  <si>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</si>
  <si>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Value USD</t>
  </si>
  <si>
    <t>Q125</t>
  </si>
  <si>
    <t>Q225</t>
  </si>
  <si>
    <t>Q325</t>
  </si>
  <si>
    <t>Q425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</si>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</sst>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#,##0\ [$€-1]"/>
    <numFmt numFmtId="166" formatCode="[$$-409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3" fontId="1" fillId="0" borderId="0" xfId="0" applyNumberFormat="1" applyFont="1"/>
    <xf numFmtId="2" fontId="0" fillId="0" borderId="0" xfId="0" applyNumberForma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</xdr:colOff>
      <xdr:row>0</xdr:row>
      <xdr:rowOff>7620</xdr:rowOff>
    </xdr:from>
    <xdr:to>
      <xdr:col>18</xdr:col>
      <xdr:colOff>15240</xdr:colOff>
      <xdr:row>33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F24F93A-9EDE-E09D-6FC3-51D907DB9A57}"/>
            </a:ext>
          </a:extLst>
        </xdr:cNvPr>
        <xdr:cNvCxnSpPr/>
      </xdr:nvCxnSpPr>
      <xdr:spPr>
        <a:xfrm>
          <a:off x="1155192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30480</xdr:colOff>
      <xdr:row>0</xdr:row>
      <xdr:rowOff>0</xdr:rowOff>
    </xdr:from>
    <xdr:to>
      <xdr:col>29</xdr:col>
      <xdr:colOff>30480</xdr:colOff>
      <xdr:row>33</xdr:row>
      <xdr:rowOff>22860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A7495F3-5B69-12B9-4ECF-0B5F7EB75FDB}"/>
            </a:ext>
          </a:extLst>
        </xdr:cNvPr>
        <xdr:cNvCxnSpPr/>
      </xdr:nvCxnSpPr>
      <xdr:spPr>
        <a:xfrm>
          <a:off x="18272760" y="0"/>
          <a:ext cx="0" cy="6057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E86F-BDCB-4F9A-99BC-9DE09E90E866}">
  <dimension ref="B2:H15"/>
  <sheetViews>
    <sheetView workbookViewId="0">
      <selection activeCell="D4" sqref="D4"/>
    </sheetView>
  </sheetViews>
  <sheetFormatPr defaultRowHeight="14.4" x14ac:dyDescent="0.3"/>
  <cols>
    <col min="3" max="3" width="12.21875" bestFit="1" customWidth="1"/>
    <col min="4" max="4" width="8.88671875" customWidth="1"/>
    <col min="6" max="8" width="13.88671875" customWidth="1"/>
  </cols>
  <sheetData>
    <row r="2" spans="2:8" x14ac:dyDescent="0.3">
      <c r="F2" s="6" t="s">
        <v>11</v>
      </c>
      <c r="G2" s="6" t="s">
        <v>12</v>
      </c>
      <c r="H2" s="6" t="s">
        <v>13</v>
      </c>
    </row>
    <row r="3" spans="2:8" x14ac:dyDescent="0.3">
      <c r="B3" s="1" t="s">
        <v>0</v>
      </c>
      <c r="C3" t="s">
        <v>1</v>
      </c>
      <c r="D3" s="3">
        <v>551.44000000000005</v>
      </c>
      <c r="F3" s="7">
        <v>45751</v>
      </c>
      <c r="G3" s="7">
        <f ca="1">TODAY()</f>
        <v>45751</v>
      </c>
      <c r="H3" s="7">
        <v>45770</v>
      </c>
    </row>
    <row r="4" spans="2:8" x14ac:dyDescent="0.3">
      <c r="C4" t="s">
        <v>2</v>
      </c>
      <c r="D4" s="2">
        <f>203.8</f>
        <v>203.8</v>
      </c>
    </row>
    <row r="5" spans="2:8" x14ac:dyDescent="0.3">
      <c r="C5" t="s">
        <v>3</v>
      </c>
      <c r="D5" s="5">
        <f>D3*D4</f>
        <v>112383.47200000002</v>
      </c>
    </row>
    <row r="6" spans="2:8" x14ac:dyDescent="0.3">
      <c r="C6" t="s">
        <v>4</v>
      </c>
      <c r="D6" s="4">
        <f>4781+2667+1635</f>
        <v>9083</v>
      </c>
    </row>
    <row r="7" spans="2:8" x14ac:dyDescent="0.3">
      <c r="C7" t="s">
        <v>5</v>
      </c>
      <c r="D7" s="4">
        <f>1539</f>
        <v>1539</v>
      </c>
    </row>
    <row r="8" spans="2:8" x14ac:dyDescent="0.3">
      <c r="C8" t="s">
        <v>6</v>
      </c>
      <c r="D8" s="4">
        <f>D6-D7</f>
        <v>7544</v>
      </c>
    </row>
    <row r="9" spans="2:8" x14ac:dyDescent="0.3">
      <c r="C9" t="s">
        <v>8</v>
      </c>
      <c r="D9" s="2">
        <f>D8/D15</f>
        <v>7912.7333752884415</v>
      </c>
    </row>
    <row r="10" spans="2:8" x14ac:dyDescent="0.3">
      <c r="C10" t="s">
        <v>7</v>
      </c>
      <c r="D10" s="2">
        <f>D5-D9</f>
        <v>104470.73862471158</v>
      </c>
    </row>
    <row r="15" spans="2:8" x14ac:dyDescent="0.3">
      <c r="C15" t="s">
        <v>9</v>
      </c>
      <c r="D15">
        <v>0.95340000000000003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E141-0626-49BA-AB25-4AB63369CE3B}">
  <dimension ref="A2:ES28"/>
  <sheetViews>
    <sheetView tabSelected="1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AQ20" sqref="AQ20"/>
    </sheetView>
  </sheetViews>
  <sheetFormatPr defaultRowHeight="14.4" x14ac:dyDescent="0.3"/>
  <cols>
    <col min="2" max="2" width="17.109375" customWidth="1"/>
    <col min="3" max="6" width="8.88671875" customWidth="1"/>
    <col min="42" max="42" width="13.6640625" customWidth="1"/>
    <col min="43" max="43" width="16.21875" bestFit="1" customWidth="1"/>
  </cols>
  <sheetData>
    <row r="2" spans="1:149" x14ac:dyDescent="0.3">
      <c r="C2" s="8" t="s">
        <v>38</v>
      </c>
      <c r="D2" s="8" t="s">
        <v>39</v>
      </c>
      <c r="E2" s="8" t="s">
        <v>40</v>
      </c>
      <c r="F2" s="8" t="s">
        <v>41</v>
      </c>
      <c r="G2" s="8" t="s">
        <v>26</v>
      </c>
      <c r="H2" s="8" t="s">
        <v>27</v>
      </c>
      <c r="I2" s="8" t="s">
        <v>28</v>
      </c>
      <c r="J2" s="8" t="s">
        <v>29</v>
      </c>
      <c r="K2" s="8" t="s">
        <v>30</v>
      </c>
      <c r="L2" s="8" t="s">
        <v>31</v>
      </c>
      <c r="M2" s="8" t="s">
        <v>32</v>
      </c>
      <c r="N2" s="8" t="s">
        <v>33</v>
      </c>
      <c r="O2" s="8" t="s">
        <v>34</v>
      </c>
      <c r="P2" s="8" t="s">
        <v>35</v>
      </c>
      <c r="Q2" s="8" t="s">
        <v>36</v>
      </c>
      <c r="R2" s="8" t="s">
        <v>37</v>
      </c>
      <c r="S2" s="8" t="s">
        <v>59</v>
      </c>
      <c r="T2" s="8" t="s">
        <v>60</v>
      </c>
      <c r="U2" s="8" t="s">
        <v>61</v>
      </c>
      <c r="V2" s="8" t="s">
        <v>62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v>2024</v>
      </c>
      <c r="AD2">
        <v>2025</v>
      </c>
      <c r="AE2">
        <v>2026</v>
      </c>
      <c r="AF2">
        <v>2027</v>
      </c>
      <c r="AG2">
        <v>2028</v>
      </c>
      <c r="AH2">
        <v>2029</v>
      </c>
      <c r="AI2">
        <v>2030</v>
      </c>
      <c r="AJ2">
        <v>2031</v>
      </c>
      <c r="AK2">
        <v>2032</v>
      </c>
      <c r="AL2">
        <v>2033</v>
      </c>
      <c r="AM2">
        <v>2034</v>
      </c>
      <c r="AN2">
        <v>2035</v>
      </c>
    </row>
    <row r="3" spans="1:149" s="1" customFormat="1" x14ac:dyDescent="0.3">
      <c r="A3"/>
      <c r="B3" s="1" t="s">
        <v>10</v>
      </c>
      <c r="C3" s="9">
        <v>2147</v>
      </c>
      <c r="D3" s="9">
        <v>2331</v>
      </c>
      <c r="E3" s="9">
        <v>2501</v>
      </c>
      <c r="F3" s="9">
        <v>2689</v>
      </c>
      <c r="G3" s="9">
        <v>2661</v>
      </c>
      <c r="H3" s="9">
        <v>2864</v>
      </c>
      <c r="I3" s="9">
        <v>3036</v>
      </c>
      <c r="J3" s="9">
        <v>3166</v>
      </c>
      <c r="K3" s="9">
        <v>3042</v>
      </c>
      <c r="L3" s="9">
        <v>3177</v>
      </c>
      <c r="M3" s="9">
        <v>3357</v>
      </c>
      <c r="N3" s="9">
        <v>3671</v>
      </c>
      <c r="O3" s="9">
        <v>3636</v>
      </c>
      <c r="P3" s="9">
        <v>3807</v>
      </c>
      <c r="Q3" s="9">
        <v>3988</v>
      </c>
      <c r="R3" s="9">
        <v>4242</v>
      </c>
      <c r="S3" s="9">
        <f>O3*1.15</f>
        <v>4181.3999999999996</v>
      </c>
      <c r="T3" s="9">
        <f t="shared" ref="T3:U3" si="0">P3*1.15</f>
        <v>4378.0499999999993</v>
      </c>
      <c r="U3" s="9">
        <f t="shared" si="0"/>
        <v>4586.2</v>
      </c>
      <c r="V3" s="9">
        <f>R3*1.14</f>
        <v>4835.8799999999992</v>
      </c>
      <c r="Z3" s="9">
        <f>SUM(C3:F3)</f>
        <v>9668</v>
      </c>
      <c r="AA3" s="9">
        <f>SUM(G3:J3)</f>
        <v>11727</v>
      </c>
      <c r="AB3" s="9">
        <f>SUM(K3:N3)</f>
        <v>13247</v>
      </c>
      <c r="AC3" s="9">
        <f>SUM(O3:R3)</f>
        <v>15673</v>
      </c>
      <c r="AD3" s="9">
        <f>SUM(S3:V3)</f>
        <v>17981.53</v>
      </c>
      <c r="AE3" s="9">
        <f>AD3*1.12</f>
        <v>20139.313600000001</v>
      </c>
      <c r="AF3" s="9">
        <f>AE3*1.1</f>
        <v>22153.244960000004</v>
      </c>
      <c r="AG3" s="9">
        <f>AF3*1.09</f>
        <v>24147.037006400005</v>
      </c>
      <c r="AH3" s="9">
        <f>AG3*1.08</f>
        <v>26078.799966912007</v>
      </c>
      <c r="AI3" s="9">
        <f>AH3*1.07</f>
        <v>27904.315964595848</v>
      </c>
      <c r="AJ3" s="9">
        <f>AI3*1.06</f>
        <v>29578.574922471598</v>
      </c>
      <c r="AK3" s="9">
        <f>AJ3*1.05</f>
        <v>31057.503668595178</v>
      </c>
      <c r="AL3" s="9">
        <f t="shared" ref="AL3:AN3" si="1">AK3*1.05</f>
        <v>32610.37885202494</v>
      </c>
      <c r="AM3" s="9">
        <f t="shared" si="1"/>
        <v>34240.897794626188</v>
      </c>
      <c r="AN3" s="9">
        <f t="shared" si="1"/>
        <v>35952.942684357498</v>
      </c>
    </row>
    <row r="4" spans="1:149" x14ac:dyDescent="0.3">
      <c r="B4" t="s">
        <v>14</v>
      </c>
      <c r="C4" s="2">
        <v>1599</v>
      </c>
      <c r="D4" s="2">
        <v>1668</v>
      </c>
      <c r="E4" s="2">
        <v>1833</v>
      </c>
      <c r="F4" s="2">
        <v>1977</v>
      </c>
      <c r="G4" s="2">
        <v>1990</v>
      </c>
      <c r="H4" s="2">
        <v>2160</v>
      </c>
      <c r="I4" s="2">
        <v>2286</v>
      </c>
      <c r="J4" s="2">
        <v>2365</v>
      </c>
      <c r="K4" s="2">
        <v>2276</v>
      </c>
      <c r="L4" s="2">
        <v>2411</v>
      </c>
      <c r="M4" s="2">
        <v>2472</v>
      </c>
      <c r="N4" s="2">
        <v>2691</v>
      </c>
      <c r="O4" s="2">
        <v>2632</v>
      </c>
      <c r="P4" s="2">
        <v>2695</v>
      </c>
      <c r="Q4" s="2">
        <v>2748</v>
      </c>
      <c r="R4" s="2">
        <v>2874</v>
      </c>
      <c r="S4" s="2">
        <f>S3-S5</f>
        <v>2843.3519999999999</v>
      </c>
      <c r="T4" s="2">
        <f t="shared" ref="T4:V4" si="2">T3-T5</f>
        <v>2977.0739999999996</v>
      </c>
      <c r="U4" s="2">
        <f t="shared" si="2"/>
        <v>3072.7539999999999</v>
      </c>
      <c r="V4" s="2">
        <f t="shared" si="2"/>
        <v>3191.6807999999992</v>
      </c>
      <c r="Z4" s="2">
        <f>SUM(C4:F4)</f>
        <v>7077</v>
      </c>
      <c r="AA4" s="2">
        <f>SUM(G4:J4)</f>
        <v>8801</v>
      </c>
      <c r="AB4" s="2">
        <f>SUM(K4:N4)</f>
        <v>9850</v>
      </c>
      <c r="AC4" s="2">
        <f>SUM(O4:R4)</f>
        <v>10949</v>
      </c>
      <c r="AD4" s="2">
        <f>SUM(S4:V4)</f>
        <v>12084.860799999999</v>
      </c>
      <c r="AE4" s="2">
        <f>AE3-AE5</f>
        <v>13090.55384</v>
      </c>
      <c r="AF4" s="2">
        <f t="shared" ref="AF4:AN4" si="3">AF3-AF5</f>
        <v>14178.076774400002</v>
      </c>
      <c r="AG4" s="2">
        <f t="shared" si="3"/>
        <v>15212.633314032004</v>
      </c>
      <c r="AH4" s="2">
        <f t="shared" si="3"/>
        <v>16168.855979485445</v>
      </c>
      <c r="AI4" s="2">
        <f t="shared" si="3"/>
        <v>17021.632738403467</v>
      </c>
      <c r="AJ4" s="2">
        <f t="shared" si="3"/>
        <v>17747.144953482959</v>
      </c>
      <c r="AK4" s="2">
        <f t="shared" si="3"/>
        <v>18634.502201157105</v>
      </c>
      <c r="AL4" s="2">
        <f t="shared" si="3"/>
        <v>19566.227311214963</v>
      </c>
      <c r="AM4" s="2">
        <f t="shared" si="3"/>
        <v>20544.538676775712</v>
      </c>
      <c r="AN4" s="2">
        <f t="shared" si="3"/>
        <v>21571.7656106145</v>
      </c>
    </row>
    <row r="5" spans="1:149" s="1" customFormat="1" x14ac:dyDescent="0.3">
      <c r="A5"/>
      <c r="B5" s="1" t="s">
        <v>15</v>
      </c>
      <c r="C5" s="9">
        <f t="shared" ref="C5:R5" si="4">C3-C4</f>
        <v>548</v>
      </c>
      <c r="D5" s="9">
        <f t="shared" si="4"/>
        <v>663</v>
      </c>
      <c r="E5" s="9">
        <f t="shared" si="4"/>
        <v>668</v>
      </c>
      <c r="F5" s="9">
        <f t="shared" si="4"/>
        <v>712</v>
      </c>
      <c r="G5" s="9">
        <f t="shared" si="4"/>
        <v>671</v>
      </c>
      <c r="H5" s="9">
        <f t="shared" si="4"/>
        <v>704</v>
      </c>
      <c r="I5" s="9">
        <f t="shared" si="4"/>
        <v>750</v>
      </c>
      <c r="J5" s="9">
        <f t="shared" si="4"/>
        <v>801</v>
      </c>
      <c r="K5" s="9">
        <f t="shared" si="4"/>
        <v>766</v>
      </c>
      <c r="L5" s="9">
        <f t="shared" si="4"/>
        <v>766</v>
      </c>
      <c r="M5" s="9">
        <f t="shared" si="4"/>
        <v>885</v>
      </c>
      <c r="N5" s="9">
        <f t="shared" si="4"/>
        <v>980</v>
      </c>
      <c r="O5" s="9">
        <f t="shared" si="4"/>
        <v>1004</v>
      </c>
      <c r="P5" s="9">
        <f t="shared" si="4"/>
        <v>1112</v>
      </c>
      <c r="Q5" s="9">
        <f t="shared" si="4"/>
        <v>1240</v>
      </c>
      <c r="R5" s="9">
        <f t="shared" si="4"/>
        <v>1368</v>
      </c>
      <c r="S5" s="9">
        <f>S3*0.32</f>
        <v>1338.048</v>
      </c>
      <c r="T5" s="9">
        <f t="shared" ref="T5" si="5">T3*0.32</f>
        <v>1400.9759999999999</v>
      </c>
      <c r="U5" s="9">
        <f>U3*0.33</f>
        <v>1513.4459999999999</v>
      </c>
      <c r="V5" s="9">
        <f>V3*0.34</f>
        <v>1644.1991999999998</v>
      </c>
      <c r="Z5" s="9">
        <f>Z3-Z4</f>
        <v>2591</v>
      </c>
      <c r="AA5" s="9">
        <f>AA3-AA4</f>
        <v>2926</v>
      </c>
      <c r="AB5" s="9">
        <f>AB3-AB4</f>
        <v>3397</v>
      </c>
      <c r="AC5" s="9">
        <f>AC3-AC4</f>
        <v>4724</v>
      </c>
      <c r="AD5" s="9">
        <f>AD3-AD4</f>
        <v>5896.6692000000003</v>
      </c>
      <c r="AE5" s="9">
        <f>AE3*0.35</f>
        <v>7048.7597599999999</v>
      </c>
      <c r="AF5" s="9">
        <f>AF3*0.36</f>
        <v>7975.1681856000014</v>
      </c>
      <c r="AG5" s="9">
        <f>AG3*0.37</f>
        <v>8934.4036923680014</v>
      </c>
      <c r="AH5" s="9">
        <f>AH3*0.38</f>
        <v>9909.9439874265627</v>
      </c>
      <c r="AI5" s="9">
        <f>AI3*0.39</f>
        <v>10882.683226192381</v>
      </c>
      <c r="AJ5" s="9">
        <f>AJ3*0.4</f>
        <v>11831.429968988639</v>
      </c>
      <c r="AK5" s="9">
        <f t="shared" ref="AK5:AN5" si="6">AK3*0.4</f>
        <v>12423.001467438073</v>
      </c>
      <c r="AL5" s="9">
        <f t="shared" si="6"/>
        <v>13044.151540809977</v>
      </c>
      <c r="AM5" s="9">
        <f t="shared" si="6"/>
        <v>13696.359117850476</v>
      </c>
      <c r="AN5" s="9">
        <f t="shared" si="6"/>
        <v>14381.177073743</v>
      </c>
    </row>
    <row r="6" spans="1:149" x14ac:dyDescent="0.3">
      <c r="B6" t="s">
        <v>16</v>
      </c>
      <c r="C6" s="2">
        <v>196</v>
      </c>
      <c r="D6" s="2">
        <v>255</v>
      </c>
      <c r="E6" s="2">
        <v>208</v>
      </c>
      <c r="F6" s="2">
        <v>253</v>
      </c>
      <c r="G6" s="2">
        <v>250</v>
      </c>
      <c r="H6" s="2">
        <v>336</v>
      </c>
      <c r="I6" s="2">
        <v>386</v>
      </c>
      <c r="J6" s="2">
        <v>415</v>
      </c>
      <c r="K6" s="2">
        <v>435</v>
      </c>
      <c r="L6" s="2">
        <v>453</v>
      </c>
      <c r="M6" s="2">
        <v>369</v>
      </c>
      <c r="N6" s="2">
        <v>468</v>
      </c>
      <c r="O6" s="2">
        <v>389</v>
      </c>
      <c r="P6" s="2">
        <v>379</v>
      </c>
      <c r="Q6" s="2">
        <v>342</v>
      </c>
      <c r="R6" s="2">
        <v>376</v>
      </c>
      <c r="S6" s="2">
        <f>O6*1.02</f>
        <v>396.78000000000003</v>
      </c>
      <c r="T6" s="2">
        <f t="shared" ref="T6:V6" si="7">P6*1.02</f>
        <v>386.58</v>
      </c>
      <c r="U6" s="2">
        <f t="shared" si="7"/>
        <v>348.84000000000003</v>
      </c>
      <c r="V6" s="2">
        <f t="shared" si="7"/>
        <v>383.52</v>
      </c>
      <c r="Z6" s="2">
        <f>SUM(C6:F6)</f>
        <v>912</v>
      </c>
      <c r="AA6" s="2">
        <f>SUM(G6:J6)</f>
        <v>1387</v>
      </c>
      <c r="AB6" s="2">
        <f>SUM(K6:N6)</f>
        <v>1725</v>
      </c>
      <c r="AC6" s="2">
        <f>SUM(O6:R6)</f>
        <v>1486</v>
      </c>
      <c r="AD6" s="2">
        <f>SUM(S6:V6)</f>
        <v>1515.72</v>
      </c>
      <c r="AE6" s="2">
        <f>AD6*1.02</f>
        <v>1546.0344</v>
      </c>
      <c r="AF6" s="2">
        <f t="shared" ref="AF6:AN6" si="8">AE6*1.02</f>
        <v>1576.9550879999999</v>
      </c>
      <c r="AG6" s="2">
        <f t="shared" si="8"/>
        <v>1608.4941897599999</v>
      </c>
      <c r="AH6" s="2">
        <f t="shared" si="8"/>
        <v>1640.6640735552</v>
      </c>
      <c r="AI6" s="2">
        <f t="shared" si="8"/>
        <v>1673.4773550263042</v>
      </c>
      <c r="AJ6" s="2">
        <f t="shared" si="8"/>
        <v>1706.9469021268303</v>
      </c>
      <c r="AK6" s="2">
        <f t="shared" si="8"/>
        <v>1741.085840169367</v>
      </c>
      <c r="AL6" s="2">
        <f t="shared" si="8"/>
        <v>1775.9075569727543</v>
      </c>
      <c r="AM6" s="2">
        <f t="shared" si="8"/>
        <v>1811.4257081122093</v>
      </c>
      <c r="AN6" s="2">
        <f t="shared" si="8"/>
        <v>1847.6542222744536</v>
      </c>
    </row>
    <row r="7" spans="1:149" x14ac:dyDescent="0.3">
      <c r="B7" t="s">
        <v>17</v>
      </c>
      <c r="C7" s="2">
        <v>236</v>
      </c>
      <c r="D7" s="2">
        <v>279</v>
      </c>
      <c r="E7" s="2">
        <v>280</v>
      </c>
      <c r="F7" s="2">
        <v>340</v>
      </c>
      <c r="G7" s="2">
        <v>296</v>
      </c>
      <c r="H7" s="2">
        <v>391</v>
      </c>
      <c r="I7" s="2">
        <v>432</v>
      </c>
      <c r="J7" s="2">
        <v>453</v>
      </c>
      <c r="K7" s="2">
        <v>347</v>
      </c>
      <c r="L7" s="2">
        <v>399</v>
      </c>
      <c r="M7" s="2">
        <v>355</v>
      </c>
      <c r="N7" s="2">
        <v>432</v>
      </c>
      <c r="O7" s="2">
        <v>324</v>
      </c>
      <c r="P7" s="2">
        <v>343</v>
      </c>
      <c r="Q7" s="2">
        <v>332</v>
      </c>
      <c r="R7" s="2">
        <v>393</v>
      </c>
      <c r="S7" s="2">
        <f>S3*0.09</f>
        <v>376.32599999999996</v>
      </c>
      <c r="T7" s="2">
        <f t="shared" ref="T7:V7" si="9">T3*0.09</f>
        <v>394.02449999999993</v>
      </c>
      <c r="U7" s="2">
        <f t="shared" si="9"/>
        <v>412.75799999999998</v>
      </c>
      <c r="V7" s="2">
        <f t="shared" si="9"/>
        <v>435.22919999999993</v>
      </c>
      <c r="Z7" s="2">
        <f>SUM(C7:F7)</f>
        <v>1135</v>
      </c>
      <c r="AA7" s="2">
        <f>SUM(G7:J7)</f>
        <v>1572</v>
      </c>
      <c r="AB7" s="2">
        <f>SUM(K7:N7)</f>
        <v>1533</v>
      </c>
      <c r="AC7" s="2">
        <f>SUM(O7:R7)</f>
        <v>1392</v>
      </c>
      <c r="AD7" s="2">
        <f>SUM(S7:V7)</f>
        <v>1618.3376999999998</v>
      </c>
      <c r="AE7" s="2">
        <f>AE3*0.08</f>
        <v>1611.1450880000002</v>
      </c>
      <c r="AF7" s="2">
        <f>AF3*0.08</f>
        <v>1772.2595968000003</v>
      </c>
      <c r="AG7" s="2">
        <f t="shared" ref="AG7:AN7" si="10">AG3*0.08</f>
        <v>1931.7629605120005</v>
      </c>
      <c r="AH7" s="2">
        <f t="shared" si="10"/>
        <v>2086.3039973529608</v>
      </c>
      <c r="AI7" s="2">
        <f t="shared" si="10"/>
        <v>2232.345277167668</v>
      </c>
      <c r="AJ7" s="2">
        <f t="shared" si="10"/>
        <v>2366.2859937977278</v>
      </c>
      <c r="AK7" s="2">
        <f t="shared" si="10"/>
        <v>2484.6002934876142</v>
      </c>
      <c r="AL7" s="2">
        <f t="shared" si="10"/>
        <v>2608.8303081619952</v>
      </c>
      <c r="AM7" s="2">
        <f t="shared" si="10"/>
        <v>2739.271823570095</v>
      </c>
      <c r="AN7" s="2">
        <f t="shared" si="10"/>
        <v>2876.2354147485999</v>
      </c>
    </row>
    <row r="8" spans="1:149" x14ac:dyDescent="0.3">
      <c r="B8" t="s">
        <v>18</v>
      </c>
      <c r="C8" s="2">
        <v>102</v>
      </c>
      <c r="D8" s="2">
        <v>117</v>
      </c>
      <c r="E8" s="2">
        <v>105</v>
      </c>
      <c r="F8" s="2">
        <v>126</v>
      </c>
      <c r="G8" s="2">
        <v>131</v>
      </c>
      <c r="H8" s="2">
        <v>171</v>
      </c>
      <c r="I8" s="2">
        <v>160</v>
      </c>
      <c r="J8" s="2">
        <v>164</v>
      </c>
      <c r="K8" s="2">
        <v>140</v>
      </c>
      <c r="L8" s="2">
        <v>161</v>
      </c>
      <c r="M8" s="2">
        <v>129</v>
      </c>
      <c r="N8" s="2">
        <v>155</v>
      </c>
      <c r="O8" s="2">
        <v>123</v>
      </c>
      <c r="P8" s="2">
        <v>124</v>
      </c>
      <c r="Q8" s="2">
        <v>112</v>
      </c>
      <c r="R8" s="2">
        <v>122</v>
      </c>
      <c r="S8" s="2">
        <f>O8*1.02</f>
        <v>125.46000000000001</v>
      </c>
      <c r="T8" s="2">
        <f t="shared" ref="T8:V8" si="11">P8*1.02</f>
        <v>126.48</v>
      </c>
      <c r="U8" s="2">
        <f t="shared" si="11"/>
        <v>114.24000000000001</v>
      </c>
      <c r="V8" s="2">
        <f t="shared" si="11"/>
        <v>124.44</v>
      </c>
      <c r="Z8" s="2">
        <f>SUM(C8:F8)</f>
        <v>450</v>
      </c>
      <c r="AA8" s="2">
        <f>SUM(G8:J8)</f>
        <v>626</v>
      </c>
      <c r="AB8" s="2">
        <f>SUM(K8:N8)</f>
        <v>585</v>
      </c>
      <c r="AC8" s="2">
        <f>SUM(O8:R8)</f>
        <v>481</v>
      </c>
      <c r="AD8" s="2">
        <f>SUM(S8:V8)</f>
        <v>490.62</v>
      </c>
      <c r="AE8" s="2">
        <f>AD8*1.02</f>
        <v>500.43240000000003</v>
      </c>
      <c r="AF8" s="2">
        <f t="shared" ref="AF8:AN8" si="12">AE8*1.02</f>
        <v>510.44104800000002</v>
      </c>
      <c r="AG8" s="2">
        <f t="shared" si="12"/>
        <v>520.64986896000005</v>
      </c>
      <c r="AH8" s="2">
        <f t="shared" si="12"/>
        <v>531.06286633920001</v>
      </c>
      <c r="AI8" s="2">
        <f t="shared" si="12"/>
        <v>541.68412366598398</v>
      </c>
      <c r="AJ8" s="2">
        <f t="shared" si="12"/>
        <v>552.51780613930362</v>
      </c>
      <c r="AK8" s="2">
        <f t="shared" si="12"/>
        <v>563.56816226208969</v>
      </c>
      <c r="AL8" s="2">
        <f t="shared" si="12"/>
        <v>574.83952550733147</v>
      </c>
      <c r="AM8" s="2">
        <f t="shared" si="12"/>
        <v>586.33631601747811</v>
      </c>
      <c r="AN8" s="2">
        <f t="shared" si="12"/>
        <v>598.06304233782771</v>
      </c>
    </row>
    <row r="9" spans="1:149" s="1" customFormat="1" x14ac:dyDescent="0.3">
      <c r="A9"/>
      <c r="B9" s="1" t="s">
        <v>19</v>
      </c>
      <c r="C9" s="9">
        <f t="shared" ref="C9:P9" si="13">C5-SUM(C6:C8)</f>
        <v>14</v>
      </c>
      <c r="D9" s="9">
        <f t="shared" si="13"/>
        <v>12</v>
      </c>
      <c r="E9" s="9">
        <f t="shared" si="13"/>
        <v>75</v>
      </c>
      <c r="F9" s="9">
        <f t="shared" si="13"/>
        <v>-7</v>
      </c>
      <c r="G9" s="9">
        <f t="shared" si="13"/>
        <v>-6</v>
      </c>
      <c r="H9" s="9">
        <f t="shared" si="13"/>
        <v>-194</v>
      </c>
      <c r="I9" s="9">
        <f t="shared" si="13"/>
        <v>-228</v>
      </c>
      <c r="J9" s="9">
        <f t="shared" si="13"/>
        <v>-231</v>
      </c>
      <c r="K9" s="9">
        <f t="shared" si="13"/>
        <v>-156</v>
      </c>
      <c r="L9" s="9">
        <f t="shared" si="13"/>
        <v>-247</v>
      </c>
      <c r="M9" s="9">
        <f t="shared" si="13"/>
        <v>32</v>
      </c>
      <c r="N9" s="9">
        <f t="shared" si="13"/>
        <v>-75</v>
      </c>
      <c r="O9" s="9">
        <f t="shared" si="13"/>
        <v>168</v>
      </c>
      <c r="P9" s="9">
        <f t="shared" si="13"/>
        <v>266</v>
      </c>
      <c r="Q9" s="9">
        <f t="shared" ref="Q9:V9" si="14">Q5-SUM(Q6:Q8)</f>
        <v>454</v>
      </c>
      <c r="R9" s="9">
        <f t="shared" si="14"/>
        <v>477</v>
      </c>
      <c r="S9" s="9">
        <f t="shared" si="14"/>
        <v>439.48199999999997</v>
      </c>
      <c r="T9" s="9">
        <f t="shared" si="14"/>
        <v>493.89149999999995</v>
      </c>
      <c r="U9" s="9">
        <f t="shared" si="14"/>
        <v>637.60799999999995</v>
      </c>
      <c r="V9" s="9">
        <f t="shared" si="14"/>
        <v>701.00999999999976</v>
      </c>
      <c r="Z9" s="9">
        <f>Z5-SUM(Z6:Z8)</f>
        <v>94</v>
      </c>
      <c r="AA9" s="9">
        <f>AA5-SUM(AA6:AA8)</f>
        <v>-659</v>
      </c>
      <c r="AB9" s="9">
        <f>AB5-SUM(AB6:AB8)</f>
        <v>-446</v>
      </c>
      <c r="AC9" s="9">
        <f>AC5-SUM(AC6:AC8)</f>
        <v>1365</v>
      </c>
      <c r="AD9" s="9">
        <f>AD5-SUM(AD6:AD8)</f>
        <v>2271.9915000000005</v>
      </c>
      <c r="AE9" s="9">
        <f t="shared" ref="AE9:AN9" si="15">AE5-SUM(AE6:AE8)</f>
        <v>3391.1478719999996</v>
      </c>
      <c r="AF9" s="9">
        <f t="shared" si="15"/>
        <v>4115.5124528000015</v>
      </c>
      <c r="AG9" s="9">
        <f t="shared" si="15"/>
        <v>4873.4966731360009</v>
      </c>
      <c r="AH9" s="9">
        <f t="shared" si="15"/>
        <v>5651.9130501792015</v>
      </c>
      <c r="AI9" s="9">
        <f t="shared" si="15"/>
        <v>6435.1764703324252</v>
      </c>
      <c r="AJ9" s="9">
        <f t="shared" si="15"/>
        <v>7205.6792669247779</v>
      </c>
      <c r="AK9" s="9">
        <f t="shared" si="15"/>
        <v>7633.7471715190022</v>
      </c>
      <c r="AL9" s="9">
        <f t="shared" si="15"/>
        <v>8084.5741501678949</v>
      </c>
      <c r="AM9" s="9">
        <f t="shared" si="15"/>
        <v>8559.3252701506935</v>
      </c>
      <c r="AN9" s="9">
        <f t="shared" si="15"/>
        <v>9059.2243943821195</v>
      </c>
    </row>
    <row r="10" spans="1:149" x14ac:dyDescent="0.3">
      <c r="B10" t="s">
        <v>20</v>
      </c>
      <c r="C10" s="2">
        <v>-104</v>
      </c>
      <c r="D10" s="2">
        <v>-21</v>
      </c>
      <c r="E10" s="2">
        <v>-101</v>
      </c>
      <c r="F10" s="2">
        <v>-20</v>
      </c>
      <c r="G10" s="2">
        <v>-175</v>
      </c>
      <c r="H10" s="2">
        <v>-118</v>
      </c>
      <c r="I10" s="2">
        <v>-102</v>
      </c>
      <c r="J10" s="2">
        <v>-26</v>
      </c>
      <c r="K10" s="2">
        <v>-27</v>
      </c>
      <c r="L10" s="2">
        <v>-33</v>
      </c>
      <c r="M10" s="2">
        <v>-55</v>
      </c>
      <c r="N10" s="2">
        <v>-46</v>
      </c>
      <c r="O10" s="2">
        <v>-59</v>
      </c>
      <c r="P10" s="2">
        <v>-76</v>
      </c>
      <c r="Q10" s="2">
        <v>-66</v>
      </c>
      <c r="R10" s="2">
        <v>-127</v>
      </c>
      <c r="S10" s="2">
        <f>O10*1.02</f>
        <v>-60.18</v>
      </c>
      <c r="T10" s="2">
        <f t="shared" ref="T10:V11" si="16">P10*1.02</f>
        <v>-77.52</v>
      </c>
      <c r="U10" s="2">
        <f t="shared" si="16"/>
        <v>-67.320000000000007</v>
      </c>
      <c r="V10" s="2">
        <f t="shared" si="16"/>
        <v>-129.54</v>
      </c>
      <c r="Z10" s="2">
        <f>SUM(C10:F10)</f>
        <v>-246</v>
      </c>
      <c r="AA10" s="2">
        <f>SUM(G10:J10)</f>
        <v>-421</v>
      </c>
      <c r="AB10" s="2">
        <f>SUM(K10:N10)</f>
        <v>-161</v>
      </c>
      <c r="AC10" s="2">
        <f>SUM(O10:R10)</f>
        <v>-328</v>
      </c>
      <c r="AD10" s="2">
        <f>SUM(S10:V10)</f>
        <v>-334.55999999999995</v>
      </c>
      <c r="AE10" s="2">
        <f>AD10*1.03</f>
        <v>-344.59679999999997</v>
      </c>
      <c r="AF10" s="2">
        <f t="shared" ref="AF10:AN10" si="17">AE10*1.03</f>
        <v>-354.93470399999995</v>
      </c>
      <c r="AG10" s="2">
        <f t="shared" si="17"/>
        <v>-365.58274511999997</v>
      </c>
      <c r="AH10" s="2">
        <f t="shared" si="17"/>
        <v>-376.55022747359999</v>
      </c>
      <c r="AI10" s="2">
        <f t="shared" si="17"/>
        <v>-387.84673429780798</v>
      </c>
      <c r="AJ10" s="2">
        <f t="shared" si="17"/>
        <v>-399.48213632674225</v>
      </c>
      <c r="AK10" s="2">
        <f t="shared" si="17"/>
        <v>-411.46660041654451</v>
      </c>
      <c r="AL10" s="2">
        <f t="shared" si="17"/>
        <v>-423.81059842904085</v>
      </c>
      <c r="AM10" s="2">
        <f t="shared" si="17"/>
        <v>-436.52491638191208</v>
      </c>
      <c r="AN10" s="2">
        <f t="shared" si="17"/>
        <v>-449.62066387336944</v>
      </c>
    </row>
    <row r="11" spans="1:149" x14ac:dyDescent="0.3">
      <c r="B11" t="s">
        <v>21</v>
      </c>
      <c r="C11" s="2">
        <v>31</v>
      </c>
      <c r="D11" s="2">
        <v>25</v>
      </c>
      <c r="E11" s="2">
        <v>14</v>
      </c>
      <c r="F11" s="2">
        <v>21</v>
      </c>
      <c r="G11" s="2">
        <v>14</v>
      </c>
      <c r="H11" s="2">
        <v>14</v>
      </c>
      <c r="I11" s="2">
        <v>18</v>
      </c>
      <c r="J11" s="2">
        <v>86</v>
      </c>
      <c r="K11" s="2">
        <v>77</v>
      </c>
      <c r="L11" s="2">
        <v>27</v>
      </c>
      <c r="M11" s="2">
        <v>14</v>
      </c>
      <c r="N11" s="2">
        <v>102</v>
      </c>
      <c r="O11" s="2">
        <v>53</v>
      </c>
      <c r="P11" s="2">
        <v>72</v>
      </c>
      <c r="Q11" s="2">
        <v>122</v>
      </c>
      <c r="R11" s="2">
        <v>105</v>
      </c>
      <c r="S11" s="2">
        <f>O11*1.02</f>
        <v>54.06</v>
      </c>
      <c r="T11" s="2">
        <f t="shared" si="16"/>
        <v>73.44</v>
      </c>
      <c r="U11" s="2">
        <f t="shared" si="16"/>
        <v>124.44</v>
      </c>
      <c r="V11" s="2">
        <f t="shared" si="16"/>
        <v>107.10000000000001</v>
      </c>
      <c r="Z11" s="2">
        <f>SUM(C11:F11)</f>
        <v>91</v>
      </c>
      <c r="AA11" s="2">
        <f>SUM(G11:J11)</f>
        <v>132</v>
      </c>
      <c r="AB11" s="2">
        <f>SUM(K11:N11)</f>
        <v>220</v>
      </c>
      <c r="AC11" s="2">
        <f>SUM(O11:R11)</f>
        <v>352</v>
      </c>
      <c r="AD11" s="2">
        <f>SUM(S11:V11)</f>
        <v>359.04</v>
      </c>
      <c r="AE11" s="2">
        <f t="shared" ref="AE11:AN11" si="18">AD11*1.01</f>
        <v>362.63040000000001</v>
      </c>
      <c r="AF11" s="2">
        <f t="shared" si="18"/>
        <v>366.25670400000001</v>
      </c>
      <c r="AG11" s="2">
        <f t="shared" si="18"/>
        <v>369.91927104000001</v>
      </c>
      <c r="AH11" s="2">
        <f t="shared" si="18"/>
        <v>373.6184637504</v>
      </c>
      <c r="AI11" s="2">
        <f t="shared" si="18"/>
        <v>377.35464838790398</v>
      </c>
      <c r="AJ11" s="2">
        <f t="shared" si="18"/>
        <v>381.12819487178302</v>
      </c>
      <c r="AK11" s="2">
        <f t="shared" si="18"/>
        <v>384.93947682050083</v>
      </c>
      <c r="AL11" s="2">
        <f t="shared" si="18"/>
        <v>388.78887158870583</v>
      </c>
      <c r="AM11" s="2">
        <f t="shared" si="18"/>
        <v>392.6767603045929</v>
      </c>
      <c r="AN11" s="2">
        <f t="shared" si="18"/>
        <v>396.60352790763886</v>
      </c>
    </row>
    <row r="12" spans="1:149" s="1" customFormat="1" x14ac:dyDescent="0.3">
      <c r="A12"/>
      <c r="B12" s="1" t="s">
        <v>22</v>
      </c>
      <c r="C12" s="9">
        <f t="shared" ref="C12:P12" si="19">C9-C10-C11</f>
        <v>87</v>
      </c>
      <c r="D12" s="9">
        <f t="shared" si="19"/>
        <v>8</v>
      </c>
      <c r="E12" s="9">
        <f t="shared" si="19"/>
        <v>162</v>
      </c>
      <c r="F12" s="9">
        <f t="shared" si="19"/>
        <v>-8</v>
      </c>
      <c r="G12" s="9">
        <f t="shared" si="19"/>
        <v>155</v>
      </c>
      <c r="H12" s="9">
        <f t="shared" si="19"/>
        <v>-90</v>
      </c>
      <c r="I12" s="9">
        <f t="shared" si="19"/>
        <v>-144</v>
      </c>
      <c r="J12" s="9">
        <f t="shared" si="19"/>
        <v>-291</v>
      </c>
      <c r="K12" s="9">
        <f t="shared" si="19"/>
        <v>-206</v>
      </c>
      <c r="L12" s="9">
        <f t="shared" si="19"/>
        <v>-241</v>
      </c>
      <c r="M12" s="9">
        <f t="shared" si="19"/>
        <v>73</v>
      </c>
      <c r="N12" s="9">
        <f t="shared" si="19"/>
        <v>-131</v>
      </c>
      <c r="O12" s="9">
        <f t="shared" si="19"/>
        <v>174</v>
      </c>
      <c r="P12" s="9">
        <f t="shared" si="19"/>
        <v>270</v>
      </c>
      <c r="Q12" s="9">
        <f t="shared" ref="Q12:V12" si="20">Q9-Q10-Q11</f>
        <v>398</v>
      </c>
      <c r="R12" s="9">
        <f t="shared" si="20"/>
        <v>499</v>
      </c>
      <c r="S12" s="9">
        <f t="shared" si="20"/>
        <v>445.60199999999998</v>
      </c>
      <c r="T12" s="9">
        <f t="shared" si="20"/>
        <v>497.97149999999993</v>
      </c>
      <c r="U12" s="9">
        <f t="shared" si="20"/>
        <v>580.48800000000006</v>
      </c>
      <c r="V12" s="9">
        <f t="shared" si="20"/>
        <v>723.4499999999997</v>
      </c>
      <c r="Z12" s="9">
        <f>Z9-Z10-Z11</f>
        <v>249</v>
      </c>
      <c r="AA12" s="9">
        <f>AA9-AA10-AA11</f>
        <v>-370</v>
      </c>
      <c r="AB12" s="9">
        <f>AB9-AB10-AB11</f>
        <v>-505</v>
      </c>
      <c r="AC12" s="9">
        <f>AC9-AC10-AC11</f>
        <v>1341</v>
      </c>
      <c r="AD12" s="9">
        <f>AD9-AD10-AD11</f>
        <v>2247.5115000000005</v>
      </c>
      <c r="AE12" s="9">
        <f t="shared" ref="AE12:AN12" si="21">AE9-AE10-AE11</f>
        <v>3373.1142719999993</v>
      </c>
      <c r="AF12" s="9">
        <f t="shared" si="21"/>
        <v>4104.1904528000014</v>
      </c>
      <c r="AG12" s="9">
        <f t="shared" si="21"/>
        <v>4869.160147216001</v>
      </c>
      <c r="AH12" s="9">
        <f t="shared" si="21"/>
        <v>5654.8448139024013</v>
      </c>
      <c r="AI12" s="9">
        <f t="shared" si="21"/>
        <v>6445.6685562423299</v>
      </c>
      <c r="AJ12" s="9">
        <f t="shared" si="21"/>
        <v>7224.0332083797366</v>
      </c>
      <c r="AK12" s="9">
        <f t="shared" si="21"/>
        <v>7660.2742951150458</v>
      </c>
      <c r="AL12" s="9">
        <f t="shared" si="21"/>
        <v>8119.5958770082307</v>
      </c>
      <c r="AM12" s="9">
        <f t="shared" si="21"/>
        <v>8603.1734262280115</v>
      </c>
      <c r="AN12" s="9">
        <f t="shared" si="21"/>
        <v>9112.2415303478501</v>
      </c>
    </row>
    <row r="13" spans="1:149" x14ac:dyDescent="0.3">
      <c r="B13" t="s">
        <v>23</v>
      </c>
      <c r="C13" s="2">
        <v>64</v>
      </c>
      <c r="D13" s="2">
        <v>28</v>
      </c>
      <c r="E13" s="2">
        <v>160</v>
      </c>
      <c r="F13" s="2">
        <v>31</v>
      </c>
      <c r="G13" s="2">
        <v>24</v>
      </c>
      <c r="H13" s="2">
        <v>35</v>
      </c>
      <c r="I13" s="2">
        <v>22</v>
      </c>
      <c r="J13" s="2">
        <v>-21</v>
      </c>
      <c r="K13" s="2">
        <v>19</v>
      </c>
      <c r="L13" s="2">
        <v>61</v>
      </c>
      <c r="M13" s="2">
        <v>8</v>
      </c>
      <c r="N13" s="2">
        <v>-61</v>
      </c>
      <c r="O13" s="2">
        <v>-23</v>
      </c>
      <c r="P13" s="2">
        <v>-4</v>
      </c>
      <c r="Q13" s="2">
        <v>98</v>
      </c>
      <c r="R13" s="2">
        <v>132</v>
      </c>
      <c r="S13" s="2">
        <f>S12*0.25</f>
        <v>111.40049999999999</v>
      </c>
      <c r="T13" s="2">
        <f t="shared" ref="T13:V13" si="22">T12*0.25</f>
        <v>124.49287499999998</v>
      </c>
      <c r="U13" s="2">
        <f t="shared" si="22"/>
        <v>145.12200000000001</v>
      </c>
      <c r="V13" s="2">
        <f t="shared" si="22"/>
        <v>180.86249999999993</v>
      </c>
      <c r="Z13" s="2">
        <f>SUM(C13:F13)</f>
        <v>283</v>
      </c>
      <c r="AA13" s="2">
        <f>SUM(G13:J13)</f>
        <v>60</v>
      </c>
      <c r="AB13" s="2">
        <f>SUM(K13:N13)</f>
        <v>27</v>
      </c>
      <c r="AC13" s="2">
        <f>SUM(O13:R13)</f>
        <v>203</v>
      </c>
      <c r="AD13" s="2">
        <f>SUM(S13:V13)</f>
        <v>561.8778749999999</v>
      </c>
      <c r="AE13" s="2">
        <f>AE12*0.2</f>
        <v>674.62285439999994</v>
      </c>
      <c r="AF13" s="2">
        <f t="shared" ref="AF13:AN13" si="23">AF12*0.2</f>
        <v>820.8380905600003</v>
      </c>
      <c r="AG13" s="2">
        <f t="shared" si="23"/>
        <v>973.83202944320021</v>
      </c>
      <c r="AH13" s="2">
        <f t="shared" si="23"/>
        <v>1130.9689627804803</v>
      </c>
      <c r="AI13" s="2">
        <f t="shared" si="23"/>
        <v>1289.1337112484662</v>
      </c>
      <c r="AJ13" s="2">
        <f t="shared" si="23"/>
        <v>1444.8066416759475</v>
      </c>
      <c r="AK13" s="2">
        <f t="shared" si="23"/>
        <v>1532.0548590230092</v>
      </c>
      <c r="AL13" s="2">
        <f t="shared" si="23"/>
        <v>1623.9191754016463</v>
      </c>
      <c r="AM13" s="2">
        <f t="shared" si="23"/>
        <v>1720.6346852456024</v>
      </c>
      <c r="AN13" s="2">
        <f t="shared" si="23"/>
        <v>1822.4483060695702</v>
      </c>
    </row>
    <row r="14" spans="1:149" s="1" customFormat="1" x14ac:dyDescent="0.3">
      <c r="A14"/>
      <c r="B14" s="1" t="s">
        <v>24</v>
      </c>
      <c r="C14" s="9">
        <f t="shared" ref="C14:P14" si="24">C12-C13</f>
        <v>23</v>
      </c>
      <c r="D14" s="9">
        <f t="shared" si="24"/>
        <v>-20</v>
      </c>
      <c r="E14" s="9">
        <f t="shared" si="24"/>
        <v>2</v>
      </c>
      <c r="F14" s="9">
        <f t="shared" si="24"/>
        <v>-39</v>
      </c>
      <c r="G14" s="9">
        <f t="shared" si="24"/>
        <v>131</v>
      </c>
      <c r="H14" s="9">
        <f t="shared" si="24"/>
        <v>-125</v>
      </c>
      <c r="I14" s="9">
        <f t="shared" si="24"/>
        <v>-166</v>
      </c>
      <c r="J14" s="9">
        <f t="shared" si="24"/>
        <v>-270</v>
      </c>
      <c r="K14" s="9">
        <f t="shared" si="24"/>
        <v>-225</v>
      </c>
      <c r="L14" s="9">
        <f t="shared" si="24"/>
        <v>-302</v>
      </c>
      <c r="M14" s="9">
        <f t="shared" si="24"/>
        <v>65</v>
      </c>
      <c r="N14" s="9">
        <f t="shared" si="24"/>
        <v>-70</v>
      </c>
      <c r="O14" s="9">
        <f t="shared" si="24"/>
        <v>197</v>
      </c>
      <c r="P14" s="9">
        <f t="shared" si="24"/>
        <v>274</v>
      </c>
      <c r="Q14" s="9">
        <f t="shared" ref="Q14:R14" si="25">Q12-Q13</f>
        <v>300</v>
      </c>
      <c r="R14" s="9">
        <f t="shared" si="25"/>
        <v>367</v>
      </c>
      <c r="S14" s="9">
        <f t="shared" ref="S14:V14" si="26">S12-S13</f>
        <v>334.20150000000001</v>
      </c>
      <c r="T14" s="9">
        <f t="shared" si="26"/>
        <v>373.47862499999997</v>
      </c>
      <c r="U14" s="9">
        <f t="shared" si="26"/>
        <v>435.36600000000004</v>
      </c>
      <c r="V14" s="9">
        <f t="shared" si="26"/>
        <v>542.58749999999975</v>
      </c>
      <c r="Z14" s="9">
        <f>Z12-Z13</f>
        <v>-34</v>
      </c>
      <c r="AA14" s="9">
        <f>AA12-AA13</f>
        <v>-430</v>
      </c>
      <c r="AB14" s="9">
        <f>AB12-AB13</f>
        <v>-532</v>
      </c>
      <c r="AC14" s="9">
        <f>AC12-AC13</f>
        <v>1138</v>
      </c>
      <c r="AD14" s="9">
        <f>AD12-AD13</f>
        <v>1685.6336250000006</v>
      </c>
      <c r="AE14" s="9">
        <f t="shared" ref="AE14:AN14" si="27">AE12-AE13</f>
        <v>2698.4914175999993</v>
      </c>
      <c r="AF14" s="9">
        <f t="shared" si="27"/>
        <v>3283.3523622400012</v>
      </c>
      <c r="AG14" s="9">
        <f t="shared" si="27"/>
        <v>3895.3281177728009</v>
      </c>
      <c r="AH14" s="9">
        <f t="shared" si="27"/>
        <v>4523.8758511219212</v>
      </c>
      <c r="AI14" s="9">
        <f t="shared" si="27"/>
        <v>5156.5348449938638</v>
      </c>
      <c r="AJ14" s="9">
        <f t="shared" si="27"/>
        <v>5779.2265667037891</v>
      </c>
      <c r="AK14" s="9">
        <f t="shared" si="27"/>
        <v>6128.2194360920366</v>
      </c>
      <c r="AL14" s="9">
        <f t="shared" si="27"/>
        <v>6495.6767016065842</v>
      </c>
      <c r="AM14" s="9">
        <f t="shared" si="27"/>
        <v>6882.5387409824089</v>
      </c>
      <c r="AN14" s="9">
        <f t="shared" si="27"/>
        <v>7289.7932242782799</v>
      </c>
      <c r="AO14" s="1">
        <f>AN14*(1+$AQ$19)</f>
        <v>7216.8952920354968</v>
      </c>
      <c r="AP14" s="1">
        <f t="shared" ref="AP14:DA14" si="28">AO14*(1+$AQ$19)</f>
        <v>7144.7263391151419</v>
      </c>
      <c r="AQ14" s="1">
        <f t="shared" si="28"/>
        <v>7073.27907572399</v>
      </c>
      <c r="AR14" s="1">
        <f t="shared" si="28"/>
        <v>7002.5462849667501</v>
      </c>
      <c r="AS14" s="1">
        <f t="shared" si="28"/>
        <v>6932.5208221170824</v>
      </c>
      <c r="AT14" s="1">
        <f t="shared" si="28"/>
        <v>6863.1956138959113</v>
      </c>
      <c r="AU14" s="1">
        <f t="shared" si="28"/>
        <v>6794.5636577569521</v>
      </c>
      <c r="AV14" s="1">
        <f t="shared" si="28"/>
        <v>6726.6180211793826</v>
      </c>
      <c r="AW14" s="1">
        <f t="shared" si="28"/>
        <v>6659.3518409675889</v>
      </c>
      <c r="AX14" s="1">
        <f t="shared" si="28"/>
        <v>6592.7583225579128</v>
      </c>
      <c r="AY14" s="1">
        <f t="shared" si="28"/>
        <v>6526.8307393323339</v>
      </c>
      <c r="AZ14" s="1">
        <f t="shared" si="28"/>
        <v>6461.5624319390108</v>
      </c>
      <c r="BA14" s="1">
        <f t="shared" si="28"/>
        <v>6396.9468076196208</v>
      </c>
      <c r="BB14" s="1">
        <f t="shared" si="28"/>
        <v>6332.9773395434249</v>
      </c>
      <c r="BC14" s="1">
        <f t="shared" si="28"/>
        <v>6269.6475661479908</v>
      </c>
      <c r="BD14" s="1">
        <f t="shared" si="28"/>
        <v>6206.951090486511</v>
      </c>
      <c r="BE14" s="1">
        <f t="shared" si="28"/>
        <v>6144.8815795816463</v>
      </c>
      <c r="BF14" s="1">
        <f t="shared" si="28"/>
        <v>6083.4327637858296</v>
      </c>
      <c r="BG14" s="1">
        <f t="shared" si="28"/>
        <v>6022.5984361479714</v>
      </c>
      <c r="BH14" s="1">
        <f t="shared" si="28"/>
        <v>5962.3724517864912</v>
      </c>
      <c r="BI14" s="1">
        <f t="shared" si="28"/>
        <v>5902.7487272686258</v>
      </c>
      <c r="BJ14" s="1">
        <f t="shared" si="28"/>
        <v>5843.7212399959399</v>
      </c>
      <c r="BK14" s="1">
        <f t="shared" si="28"/>
        <v>5785.2840275959807</v>
      </c>
      <c r="BL14" s="1">
        <f t="shared" si="28"/>
        <v>5727.4311873200204</v>
      </c>
      <c r="BM14" s="1">
        <f t="shared" si="28"/>
        <v>5670.1568754468199</v>
      </c>
      <c r="BN14" s="1">
        <f t="shared" si="28"/>
        <v>5613.4553066923518</v>
      </c>
      <c r="BO14" s="1">
        <f t="shared" si="28"/>
        <v>5557.3207536254286</v>
      </c>
      <c r="BP14" s="1">
        <f t="shared" si="28"/>
        <v>5501.7475460891746</v>
      </c>
      <c r="BQ14" s="1">
        <f t="shared" si="28"/>
        <v>5446.7300706282831</v>
      </c>
      <c r="BR14" s="1">
        <f t="shared" si="28"/>
        <v>5392.2627699220002</v>
      </c>
      <c r="BS14" s="1">
        <f t="shared" si="28"/>
        <v>5338.3401422227798</v>
      </c>
      <c r="BT14" s="1">
        <f t="shared" si="28"/>
        <v>5284.9567408005523</v>
      </c>
      <c r="BU14" s="1">
        <f t="shared" si="28"/>
        <v>5232.1071733925464</v>
      </c>
      <c r="BV14" s="1">
        <f t="shared" si="28"/>
        <v>5179.7861016586212</v>
      </c>
      <c r="BW14" s="1">
        <f t="shared" si="28"/>
        <v>5127.9882406420347</v>
      </c>
      <c r="BX14" s="1">
        <f t="shared" si="28"/>
        <v>5076.7083582356145</v>
      </c>
      <c r="BY14" s="1">
        <f t="shared" si="28"/>
        <v>5025.941274653258</v>
      </c>
      <c r="BZ14" s="1">
        <f t="shared" si="28"/>
        <v>4975.6818619067253</v>
      </c>
      <c r="CA14" s="1">
        <f t="shared" si="28"/>
        <v>4925.9250432876579</v>
      </c>
      <c r="CB14" s="1">
        <f t="shared" si="28"/>
        <v>4876.6657928547811</v>
      </c>
      <c r="CC14" s="1">
        <f t="shared" si="28"/>
        <v>4827.8991349262333</v>
      </c>
      <c r="CD14" s="1">
        <f t="shared" si="28"/>
        <v>4779.6201435769708</v>
      </c>
      <c r="CE14" s="1">
        <f t="shared" si="28"/>
        <v>4731.8239421412009</v>
      </c>
      <c r="CF14" s="1">
        <f t="shared" si="28"/>
        <v>4684.505702719789</v>
      </c>
      <c r="CG14" s="1">
        <f t="shared" si="28"/>
        <v>4637.6606456925911</v>
      </c>
      <c r="CH14" s="1">
        <f t="shared" si="28"/>
        <v>4591.2840392356647</v>
      </c>
      <c r="CI14" s="1">
        <f t="shared" si="28"/>
        <v>4545.3711988433079</v>
      </c>
      <c r="CJ14" s="1">
        <f t="shared" si="28"/>
        <v>4499.9174868548744</v>
      </c>
      <c r="CK14" s="1">
        <f t="shared" si="28"/>
        <v>4454.9183119863255</v>
      </c>
      <c r="CL14" s="1">
        <f t="shared" si="28"/>
        <v>4410.3691288664622</v>
      </c>
      <c r="CM14" s="1">
        <f t="shared" si="28"/>
        <v>4366.2654375777975</v>
      </c>
      <c r="CN14" s="1">
        <f t="shared" si="28"/>
        <v>4322.6027832020191</v>
      </c>
      <c r="CO14" s="1">
        <f t="shared" si="28"/>
        <v>4279.376755369999</v>
      </c>
      <c r="CP14" s="1">
        <f t="shared" si="28"/>
        <v>4236.5829878162995</v>
      </c>
      <c r="CQ14" s="1">
        <f t="shared" si="28"/>
        <v>4194.2171579381366</v>
      </c>
      <c r="CR14" s="1">
        <f t="shared" si="28"/>
        <v>4152.2749863587551</v>
      </c>
      <c r="CS14" s="1">
        <f t="shared" si="28"/>
        <v>4110.7522364951674</v>
      </c>
      <c r="CT14" s="1">
        <f t="shared" si="28"/>
        <v>4069.6447141302156</v>
      </c>
      <c r="CU14" s="1">
        <f t="shared" si="28"/>
        <v>4028.9482669889135</v>
      </c>
      <c r="CV14" s="1">
        <f t="shared" si="28"/>
        <v>3988.6587843190241</v>
      </c>
      <c r="CW14" s="1">
        <f t="shared" si="28"/>
        <v>3948.7721964758339</v>
      </c>
      <c r="CX14" s="1">
        <f t="shared" si="28"/>
        <v>3909.2844745110756</v>
      </c>
      <c r="CY14" s="1">
        <f t="shared" si="28"/>
        <v>3870.191629765965</v>
      </c>
      <c r="CZ14" s="1">
        <f t="shared" si="28"/>
        <v>3831.4897134683051</v>
      </c>
      <c r="DA14" s="1">
        <f t="shared" si="28"/>
        <v>3793.1748163336219</v>
      </c>
      <c r="DB14" s="1">
        <f t="shared" ref="DB14:ES14" si="29">DA14*(1+$AQ$19)</f>
        <v>3755.2430681702858</v>
      </c>
      <c r="DC14" s="1">
        <f t="shared" si="29"/>
        <v>3717.690637488583</v>
      </c>
      <c r="DD14" s="1">
        <f t="shared" si="29"/>
        <v>3680.5137311136973</v>
      </c>
      <c r="DE14" s="1">
        <f t="shared" si="29"/>
        <v>3643.7085938025602</v>
      </c>
      <c r="DF14" s="1">
        <f t="shared" si="29"/>
        <v>3607.2715078645347</v>
      </c>
      <c r="DG14" s="1">
        <f t="shared" si="29"/>
        <v>3571.1987927858895</v>
      </c>
      <c r="DH14" s="1">
        <f t="shared" si="29"/>
        <v>3535.4868048580306</v>
      </c>
      <c r="DI14" s="1">
        <f t="shared" si="29"/>
        <v>3500.1319368094501</v>
      </c>
      <c r="DJ14" s="1">
        <f t="shared" si="29"/>
        <v>3465.1306174413553</v>
      </c>
      <c r="DK14" s="1">
        <f t="shared" si="29"/>
        <v>3430.4793112669417</v>
      </c>
      <c r="DL14" s="1">
        <f t="shared" si="29"/>
        <v>3396.1745181542724</v>
      </c>
      <c r="DM14" s="1">
        <f t="shared" si="29"/>
        <v>3362.2127729727295</v>
      </c>
      <c r="DN14" s="1">
        <f t="shared" si="29"/>
        <v>3328.5906452430022</v>
      </c>
      <c r="DO14" s="1">
        <f t="shared" si="29"/>
        <v>3295.3047387905722</v>
      </c>
      <c r="DP14" s="1">
        <f t="shared" si="29"/>
        <v>3262.3516914026663</v>
      </c>
      <c r="DQ14" s="1">
        <f t="shared" si="29"/>
        <v>3229.7281744886395</v>
      </c>
      <c r="DR14" s="1">
        <f t="shared" si="29"/>
        <v>3197.4308927437532</v>
      </c>
      <c r="DS14" s="1">
        <f t="shared" si="29"/>
        <v>3165.4565838163157</v>
      </c>
      <c r="DT14" s="1">
        <f t="shared" si="29"/>
        <v>3133.8020179781524</v>
      </c>
      <c r="DU14" s="1">
        <f t="shared" si="29"/>
        <v>3102.4639977983707</v>
      </c>
      <c r="DV14" s="1">
        <f t="shared" si="29"/>
        <v>3071.4393578203867</v>
      </c>
      <c r="DW14" s="1">
        <f t="shared" si="29"/>
        <v>3040.724964242183</v>
      </c>
      <c r="DX14" s="1">
        <f t="shared" si="29"/>
        <v>3010.3177145997611</v>
      </c>
      <c r="DY14" s="1">
        <f t="shared" si="29"/>
        <v>2980.2145374537636</v>
      </c>
      <c r="DZ14" s="1">
        <f t="shared" si="29"/>
        <v>2950.4123920792258</v>
      </c>
      <c r="EA14" s="1">
        <f t="shared" si="29"/>
        <v>2920.9082681584337</v>
      </c>
      <c r="EB14" s="1">
        <f t="shared" si="29"/>
        <v>2891.6991854768494</v>
      </c>
      <c r="EC14" s="1">
        <f t="shared" si="29"/>
        <v>2862.7821936220807</v>
      </c>
      <c r="ED14" s="1">
        <f t="shared" si="29"/>
        <v>2834.15437168586</v>
      </c>
      <c r="EE14" s="1">
        <f t="shared" si="29"/>
        <v>2805.8128279690013</v>
      </c>
      <c r="EF14" s="1">
        <f t="shared" si="29"/>
        <v>2777.7546996893111</v>
      </c>
      <c r="EG14" s="1">
        <f t="shared" si="29"/>
        <v>2749.9771526924178</v>
      </c>
      <c r="EH14" s="1">
        <f t="shared" si="29"/>
        <v>2722.4773811654936</v>
      </c>
      <c r="EI14" s="1">
        <f t="shared" si="29"/>
        <v>2695.2526073538388</v>
      </c>
      <c r="EJ14" s="1">
        <f t="shared" si="29"/>
        <v>2668.3000812803002</v>
      </c>
      <c r="EK14" s="1">
        <f t="shared" si="29"/>
        <v>2641.6170804674971</v>
      </c>
      <c r="EL14" s="1">
        <f t="shared" si="29"/>
        <v>2615.2009096628221</v>
      </c>
      <c r="EM14" s="1">
        <f t="shared" si="29"/>
        <v>2589.0489005661939</v>
      </c>
      <c r="EN14" s="1">
        <f t="shared" si="29"/>
        <v>2563.1584115605319</v>
      </c>
      <c r="EO14" s="1">
        <f t="shared" si="29"/>
        <v>2537.5268274449268</v>
      </c>
      <c r="EP14" s="1">
        <f t="shared" si="29"/>
        <v>2512.1515591704774</v>
      </c>
      <c r="EQ14" s="1">
        <f t="shared" si="29"/>
        <v>2487.0300435787726</v>
      </c>
      <c r="ER14" s="1">
        <f t="shared" si="29"/>
        <v>2462.159743142985</v>
      </c>
      <c r="ES14" s="1">
        <f t="shared" si="29"/>
        <v>2437.538145711555</v>
      </c>
    </row>
    <row r="15" spans="1:149" x14ac:dyDescent="0.3">
      <c r="B15" t="s">
        <v>2</v>
      </c>
      <c r="C15" s="2">
        <v>192.9</v>
      </c>
      <c r="D15" s="2">
        <v>192.9</v>
      </c>
      <c r="E15" s="2">
        <v>192.9</v>
      </c>
      <c r="F15" s="2">
        <v>192.9</v>
      </c>
      <c r="G15" s="2">
        <v>192.9</v>
      </c>
      <c r="H15" s="2">
        <v>192.9</v>
      </c>
      <c r="I15" s="2">
        <v>193.1</v>
      </c>
      <c r="J15" s="2">
        <v>193.2</v>
      </c>
      <c r="K15" s="2">
        <v>193.6</v>
      </c>
      <c r="L15" s="2">
        <v>194.4</v>
      </c>
      <c r="M15" s="2">
        <v>194.4</v>
      </c>
      <c r="N15" s="2">
        <v>196</v>
      </c>
      <c r="O15" s="2">
        <v>198</v>
      </c>
      <c r="P15" s="2">
        <v>200</v>
      </c>
      <c r="Q15" s="2">
        <v>201.6</v>
      </c>
      <c r="R15" s="2">
        <f>203.8</f>
        <v>203.8</v>
      </c>
      <c r="S15" s="2">
        <f>203.8</f>
        <v>203.8</v>
      </c>
      <c r="T15" s="2">
        <f>203.8</f>
        <v>203.8</v>
      </c>
      <c r="U15" s="2">
        <f>203.8</f>
        <v>203.8</v>
      </c>
      <c r="V15" s="2">
        <f>203.8</f>
        <v>203.8</v>
      </c>
      <c r="Z15" s="2">
        <v>200</v>
      </c>
      <c r="AA15" s="2">
        <v>200</v>
      </c>
      <c r="AB15" s="2">
        <v>200</v>
      </c>
      <c r="AC15" s="2">
        <v>201.6</v>
      </c>
      <c r="AD15" s="2">
        <f t="shared" ref="AD15:AN15" si="30">203.8</f>
        <v>203.8</v>
      </c>
      <c r="AE15" s="2">
        <f t="shared" si="30"/>
        <v>203.8</v>
      </c>
      <c r="AF15" s="2">
        <f t="shared" si="30"/>
        <v>203.8</v>
      </c>
      <c r="AG15" s="2">
        <f t="shared" si="30"/>
        <v>203.8</v>
      </c>
      <c r="AH15" s="2">
        <f t="shared" si="30"/>
        <v>203.8</v>
      </c>
      <c r="AI15" s="2">
        <f t="shared" si="30"/>
        <v>203.8</v>
      </c>
      <c r="AJ15" s="2">
        <f t="shared" si="30"/>
        <v>203.8</v>
      </c>
      <c r="AK15" s="2">
        <f t="shared" si="30"/>
        <v>203.8</v>
      </c>
      <c r="AL15" s="2">
        <f t="shared" si="30"/>
        <v>203.8</v>
      </c>
      <c r="AM15" s="2">
        <f t="shared" si="30"/>
        <v>203.8</v>
      </c>
      <c r="AN15" s="2">
        <f t="shared" si="30"/>
        <v>203.8</v>
      </c>
    </row>
    <row r="16" spans="1:149" x14ac:dyDescent="0.3">
      <c r="B16" t="s">
        <v>25</v>
      </c>
      <c r="C16" s="10">
        <f t="shared" ref="C16:P16" si="31">C14/C15</f>
        <v>0.11923276308968377</v>
      </c>
      <c r="D16" s="10">
        <f t="shared" si="31"/>
        <v>-0.10368066355624676</v>
      </c>
      <c r="E16" s="10">
        <f t="shared" si="31"/>
        <v>1.0368066355624676E-2</v>
      </c>
      <c r="F16" s="10">
        <f t="shared" si="31"/>
        <v>-0.20217729393468117</v>
      </c>
      <c r="G16" s="10">
        <f t="shared" si="31"/>
        <v>0.67910834629341621</v>
      </c>
      <c r="H16" s="10">
        <f t="shared" si="31"/>
        <v>-0.6480041472265422</v>
      </c>
      <c r="I16" s="10">
        <f t="shared" si="31"/>
        <v>-0.859658208182289</v>
      </c>
      <c r="J16" s="10">
        <f t="shared" si="31"/>
        <v>-1.3975155279503106</v>
      </c>
      <c r="K16" s="10">
        <f t="shared" si="31"/>
        <v>-1.1621900826446281</v>
      </c>
      <c r="L16" s="10">
        <f t="shared" si="31"/>
        <v>-1.5534979423868311</v>
      </c>
      <c r="M16" s="10">
        <f t="shared" si="31"/>
        <v>0.33436213991769548</v>
      </c>
      <c r="N16" s="10">
        <f t="shared" si="31"/>
        <v>-0.35714285714285715</v>
      </c>
      <c r="O16" s="10">
        <f t="shared" si="31"/>
        <v>0.99494949494949492</v>
      </c>
      <c r="P16" s="10">
        <f t="shared" si="31"/>
        <v>1.37</v>
      </c>
      <c r="Q16" s="10">
        <f t="shared" ref="Q16:R16" si="32">Q14/Q15</f>
        <v>1.4880952380952381</v>
      </c>
      <c r="R16" s="10">
        <f t="shared" si="32"/>
        <v>1.8007850834151127</v>
      </c>
      <c r="S16" s="10">
        <f t="shared" ref="S16:V16" si="33">S14/S15</f>
        <v>1.6398503434739942</v>
      </c>
      <c r="T16" s="10">
        <f t="shared" si="33"/>
        <v>1.8325742149165847</v>
      </c>
      <c r="U16" s="10">
        <f t="shared" si="33"/>
        <v>2.1362414131501475</v>
      </c>
      <c r="V16" s="10">
        <f t="shared" si="33"/>
        <v>2.6623527968596647</v>
      </c>
      <c r="Z16" s="10">
        <f>Z14/Z15</f>
        <v>-0.17</v>
      </c>
      <c r="AA16" s="10">
        <f>AA14/AA15</f>
        <v>-2.15</v>
      </c>
      <c r="AB16" s="10">
        <f>AB14/AB15</f>
        <v>-2.66</v>
      </c>
      <c r="AC16" s="10">
        <f>AC14/AC15</f>
        <v>5.6448412698412698</v>
      </c>
      <c r="AD16" s="10">
        <f>AD14/AD15</f>
        <v>8.2710187684003955</v>
      </c>
      <c r="AE16" s="10">
        <f t="shared" ref="AE16:AN16" si="34">AE14/AE15</f>
        <v>13.240880361138366</v>
      </c>
      <c r="AF16" s="10">
        <f t="shared" si="34"/>
        <v>16.110659284789012</v>
      </c>
      <c r="AG16" s="10">
        <f t="shared" si="34"/>
        <v>19.113484385538765</v>
      </c>
      <c r="AH16" s="10">
        <f t="shared" si="34"/>
        <v>22.197624392158591</v>
      </c>
      <c r="AI16" s="10">
        <f t="shared" si="34"/>
        <v>25.301937414101392</v>
      </c>
      <c r="AJ16" s="10">
        <f t="shared" si="34"/>
        <v>28.357343310617217</v>
      </c>
      <c r="AK16" s="10">
        <f t="shared" si="34"/>
        <v>30.069771521550717</v>
      </c>
      <c r="AL16" s="10">
        <f t="shared" si="34"/>
        <v>31.87280030228942</v>
      </c>
      <c r="AM16" s="10">
        <f t="shared" si="34"/>
        <v>33.771043871356277</v>
      </c>
      <c r="AN16" s="10">
        <f t="shared" si="34"/>
        <v>35.769348499893425</v>
      </c>
    </row>
    <row r="18" spans="2:43" x14ac:dyDescent="0.3">
      <c r="B18" t="s">
        <v>42</v>
      </c>
      <c r="C18" s="11"/>
      <c r="D18" s="11"/>
      <c r="E18" s="11"/>
      <c r="F18" s="11"/>
      <c r="G18" s="11">
        <f t="shared" ref="G18:O18" si="35">G3/C3-1</f>
        <v>0.23940381928272014</v>
      </c>
      <c r="H18" s="11">
        <f t="shared" si="35"/>
        <v>0.2286572286572286</v>
      </c>
      <c r="I18" s="11">
        <f t="shared" si="35"/>
        <v>0.21391443422630951</v>
      </c>
      <c r="J18" s="11">
        <f t="shared" si="35"/>
        <v>0.17738936407586459</v>
      </c>
      <c r="K18" s="11">
        <f t="shared" si="35"/>
        <v>0.14317925591882741</v>
      </c>
      <c r="L18" s="11">
        <f t="shared" si="35"/>
        <v>0.10928770949720668</v>
      </c>
      <c r="M18" s="11">
        <f t="shared" si="35"/>
        <v>0.10573122529644263</v>
      </c>
      <c r="N18" s="11">
        <f t="shared" si="35"/>
        <v>0.15950726468730259</v>
      </c>
      <c r="O18" s="11">
        <f t="shared" si="35"/>
        <v>0.19526627218934922</v>
      </c>
      <c r="P18" s="11">
        <f>P3/L3-1</f>
        <v>0.19830028328611893</v>
      </c>
      <c r="Q18" s="11">
        <f t="shared" ref="Q18:R18" si="36">Q3/M3-1</f>
        <v>0.18796544533809945</v>
      </c>
      <c r="R18" s="11">
        <f t="shared" si="36"/>
        <v>0.15554344865159364</v>
      </c>
      <c r="S18" s="11">
        <f t="shared" ref="S18" si="37">S3/O3-1</f>
        <v>0.14999999999999991</v>
      </c>
      <c r="T18" s="11">
        <f t="shared" ref="T18" si="38">T3/P3-1</f>
        <v>0.14999999999999991</v>
      </c>
      <c r="U18" s="11">
        <f t="shared" ref="U18" si="39">U3/Q3-1</f>
        <v>0.14999999999999991</v>
      </c>
      <c r="V18" s="11">
        <f t="shared" ref="V18" si="40">V3/R3-1</f>
        <v>0.1399999999999999</v>
      </c>
      <c r="X18" s="11"/>
      <c r="Y18" s="11" t="e">
        <f>Y3/X3-1</f>
        <v>#DIV/0!</v>
      </c>
      <c r="Z18" s="11" t="e">
        <f t="shared" ref="Z18:AN18" si="41">Z3/Y3-1</f>
        <v>#DIV/0!</v>
      </c>
      <c r="AA18" s="11">
        <f t="shared" si="41"/>
        <v>0.21297062474141493</v>
      </c>
      <c r="AB18" s="11">
        <f t="shared" si="41"/>
        <v>0.12961541741280813</v>
      </c>
      <c r="AC18" s="11">
        <f t="shared" si="41"/>
        <v>0.18313580433305665</v>
      </c>
      <c r="AD18" s="11">
        <f t="shared" si="41"/>
        <v>0.14729343456900401</v>
      </c>
      <c r="AE18" s="11">
        <f t="shared" si="41"/>
        <v>0.12000000000000011</v>
      </c>
      <c r="AF18" s="11">
        <f t="shared" si="41"/>
        <v>0.10000000000000009</v>
      </c>
      <c r="AG18" s="11">
        <f t="shared" si="41"/>
        <v>9.000000000000008E-2</v>
      </c>
      <c r="AH18" s="11">
        <f t="shared" si="41"/>
        <v>8.0000000000000071E-2</v>
      </c>
      <c r="AI18" s="11">
        <f t="shared" si="41"/>
        <v>7.0000000000000062E-2</v>
      </c>
      <c r="AJ18" s="11">
        <f t="shared" si="41"/>
        <v>6.0000000000000053E-2</v>
      </c>
      <c r="AK18" s="11">
        <f t="shared" si="41"/>
        <v>5.0000000000000044E-2</v>
      </c>
      <c r="AL18" s="11">
        <f t="shared" si="41"/>
        <v>5.0000000000000044E-2</v>
      </c>
      <c r="AM18" s="11">
        <f t="shared" si="41"/>
        <v>5.0000000000000044E-2</v>
      </c>
      <c r="AN18" s="11">
        <f t="shared" si="41"/>
        <v>5.0000000000000044E-2</v>
      </c>
    </row>
    <row r="19" spans="2:43" x14ac:dyDescent="0.3">
      <c r="B19" t="s">
        <v>43</v>
      </c>
      <c r="C19" s="11">
        <f t="shared" ref="C19:O19" si="42">C5/C3</f>
        <v>0.25523986958546807</v>
      </c>
      <c r="D19" s="11">
        <f t="shared" si="42"/>
        <v>0.28442728442728443</v>
      </c>
      <c r="E19" s="11">
        <f t="shared" si="42"/>
        <v>0.26709316273490602</v>
      </c>
      <c r="F19" s="11">
        <f t="shared" si="42"/>
        <v>0.26478244700632203</v>
      </c>
      <c r="G19" s="11">
        <f t="shared" si="42"/>
        <v>0.25216084178880122</v>
      </c>
      <c r="H19" s="11">
        <f t="shared" si="42"/>
        <v>0.24581005586592178</v>
      </c>
      <c r="I19" s="11">
        <f t="shared" si="42"/>
        <v>0.24703557312252963</v>
      </c>
      <c r="J19" s="11">
        <f t="shared" si="42"/>
        <v>0.25300063171193937</v>
      </c>
      <c r="K19" s="11">
        <f t="shared" si="42"/>
        <v>0.2518080210387903</v>
      </c>
      <c r="L19" s="11">
        <f t="shared" si="42"/>
        <v>0.24110796348756688</v>
      </c>
      <c r="M19" s="11">
        <f t="shared" si="42"/>
        <v>0.26362823949955316</v>
      </c>
      <c r="N19" s="11">
        <f t="shared" si="42"/>
        <v>0.26695723236175428</v>
      </c>
      <c r="O19" s="11">
        <f t="shared" si="42"/>
        <v>0.27612761276127612</v>
      </c>
      <c r="P19" s="11">
        <f>P5/P3</f>
        <v>0.29209351195166799</v>
      </c>
      <c r="Q19" s="11">
        <f t="shared" ref="Q19:R19" si="43">Q5/Q3</f>
        <v>0.31093279839518556</v>
      </c>
      <c r="R19" s="11">
        <f t="shared" si="43"/>
        <v>0.32248939179632247</v>
      </c>
      <c r="S19" s="11">
        <f t="shared" ref="S19:V19" si="44">S5/S3</f>
        <v>0.32</v>
      </c>
      <c r="T19" s="11">
        <f t="shared" si="44"/>
        <v>0.32</v>
      </c>
      <c r="U19" s="11">
        <f t="shared" si="44"/>
        <v>0.33</v>
      </c>
      <c r="V19" s="11">
        <f t="shared" si="44"/>
        <v>0.34</v>
      </c>
      <c r="X19" s="11" t="e">
        <f t="shared" ref="X19:AN19" si="45">X5/X3</f>
        <v>#DIV/0!</v>
      </c>
      <c r="Y19" s="11" t="e">
        <f t="shared" si="45"/>
        <v>#DIV/0!</v>
      </c>
      <c r="Z19" s="11">
        <f t="shared" si="45"/>
        <v>0.26799751758378154</v>
      </c>
      <c r="AA19" s="11">
        <f t="shared" si="45"/>
        <v>0.2495096785196555</v>
      </c>
      <c r="AB19" s="11">
        <f t="shared" si="45"/>
        <v>0.25643541934022795</v>
      </c>
      <c r="AC19" s="11">
        <f t="shared" si="45"/>
        <v>0.30141006827027372</v>
      </c>
      <c r="AD19" s="11">
        <f t="shared" si="45"/>
        <v>0.3279292251549229</v>
      </c>
      <c r="AE19" s="11">
        <f t="shared" si="45"/>
        <v>0.35</v>
      </c>
      <c r="AF19" s="11">
        <f t="shared" si="45"/>
        <v>0.36</v>
      </c>
      <c r="AG19" s="11">
        <f t="shared" si="45"/>
        <v>0.37</v>
      </c>
      <c r="AH19" s="11">
        <f t="shared" si="45"/>
        <v>0.38</v>
      </c>
      <c r="AI19" s="11">
        <f t="shared" si="45"/>
        <v>0.39</v>
      </c>
      <c r="AJ19" s="11">
        <f t="shared" si="45"/>
        <v>0.4</v>
      </c>
      <c r="AK19" s="11">
        <f t="shared" si="45"/>
        <v>0.4</v>
      </c>
      <c r="AL19" s="11">
        <f t="shared" si="45"/>
        <v>0.4</v>
      </c>
      <c r="AM19" s="11">
        <f t="shared" si="45"/>
        <v>0.4</v>
      </c>
      <c r="AN19" s="11">
        <f t="shared" si="45"/>
        <v>0.4</v>
      </c>
      <c r="AP19" t="s">
        <v>49</v>
      </c>
      <c r="AQ19" s="11">
        <v>-0.01</v>
      </c>
    </row>
    <row r="20" spans="2:43" x14ac:dyDescent="0.3">
      <c r="B20" t="s">
        <v>44</v>
      </c>
      <c r="C20" s="11"/>
      <c r="D20" s="11"/>
      <c r="E20" s="11"/>
      <c r="F20" s="11"/>
      <c r="G20" s="11">
        <f t="shared" ref="G20:O20" si="46">G6/C6-1</f>
        <v>0.27551020408163263</v>
      </c>
      <c r="H20" s="11">
        <f t="shared" si="46"/>
        <v>0.31764705882352939</v>
      </c>
      <c r="I20" s="11">
        <f t="shared" si="46"/>
        <v>0.85576923076923084</v>
      </c>
      <c r="J20" s="11">
        <f t="shared" si="46"/>
        <v>0.64031620553359692</v>
      </c>
      <c r="K20" s="11">
        <f t="shared" si="46"/>
        <v>0.74</v>
      </c>
      <c r="L20" s="11">
        <f t="shared" si="46"/>
        <v>0.34821428571428581</v>
      </c>
      <c r="M20" s="11">
        <f t="shared" si="46"/>
        <v>-4.4041450777202118E-2</v>
      </c>
      <c r="N20" s="11">
        <f t="shared" si="46"/>
        <v>0.12771084337349392</v>
      </c>
      <c r="O20" s="11">
        <f t="shared" si="46"/>
        <v>-0.10574712643678164</v>
      </c>
      <c r="P20" s="11">
        <f>P6/L6-1</f>
        <v>-0.16335540838852092</v>
      </c>
      <c r="Q20" s="11">
        <f t="shared" ref="Q20:R20" si="47">Q6/M6-1</f>
        <v>-7.3170731707317027E-2</v>
      </c>
      <c r="R20" s="11">
        <f t="shared" si="47"/>
        <v>-0.19658119658119655</v>
      </c>
      <c r="S20" s="11">
        <f t="shared" ref="S20" si="48">S6/O6-1</f>
        <v>2.0000000000000018E-2</v>
      </c>
      <c r="T20" s="11">
        <f t="shared" ref="T20" si="49">T6/P6-1</f>
        <v>2.0000000000000018E-2</v>
      </c>
      <c r="U20" s="11">
        <f t="shared" ref="U20" si="50">U6/Q6-1</f>
        <v>2.0000000000000018E-2</v>
      </c>
      <c r="V20" s="11">
        <f t="shared" ref="V20" si="51">V6/R6-1</f>
        <v>2.0000000000000018E-2</v>
      </c>
      <c r="X20" s="11"/>
      <c r="Y20" s="11" t="e">
        <f>Y6/X6-1</f>
        <v>#DIV/0!</v>
      </c>
      <c r="Z20" s="11" t="e">
        <f t="shared" ref="Z20:AN20" si="52">Z6/Y6-1</f>
        <v>#DIV/0!</v>
      </c>
      <c r="AA20" s="11">
        <f t="shared" si="52"/>
        <v>0.52083333333333326</v>
      </c>
      <c r="AB20" s="11">
        <f t="shared" si="52"/>
        <v>0.24369142033165114</v>
      </c>
      <c r="AC20" s="11">
        <f t="shared" si="52"/>
        <v>-0.13855072463768114</v>
      </c>
      <c r="AD20" s="11">
        <f t="shared" si="52"/>
        <v>2.0000000000000018E-2</v>
      </c>
      <c r="AE20" s="11">
        <f t="shared" si="52"/>
        <v>2.0000000000000018E-2</v>
      </c>
      <c r="AF20" s="11">
        <f t="shared" si="52"/>
        <v>2.0000000000000018E-2</v>
      </c>
      <c r="AG20" s="11">
        <f t="shared" si="52"/>
        <v>2.0000000000000018E-2</v>
      </c>
      <c r="AH20" s="11">
        <f t="shared" si="52"/>
        <v>2.0000000000000018E-2</v>
      </c>
      <c r="AI20" s="11">
        <f t="shared" si="52"/>
        <v>2.0000000000000018E-2</v>
      </c>
      <c r="AJ20" s="11">
        <f t="shared" si="52"/>
        <v>2.0000000000000018E-2</v>
      </c>
      <c r="AK20" s="11">
        <f t="shared" si="52"/>
        <v>2.0000000000000018E-2</v>
      </c>
      <c r="AL20" s="11">
        <f t="shared" si="52"/>
        <v>2.0000000000000018E-2</v>
      </c>
      <c r="AM20" s="11">
        <f t="shared" si="52"/>
        <v>2.0000000000000018E-2</v>
      </c>
      <c r="AN20" s="11">
        <f t="shared" si="52"/>
        <v>2.0000000000000018E-2</v>
      </c>
      <c r="AP20" t="s">
        <v>50</v>
      </c>
      <c r="AQ20" s="11">
        <v>7.0000000000000007E-2</v>
      </c>
    </row>
    <row r="21" spans="2:43" x14ac:dyDescent="0.3">
      <c r="B21" t="s">
        <v>45</v>
      </c>
      <c r="C21" s="11">
        <f t="shared" ref="C21:O21" si="53">C7/C3</f>
        <v>0.10992081974848626</v>
      </c>
      <c r="D21" s="11">
        <f t="shared" si="53"/>
        <v>0.11969111969111969</v>
      </c>
      <c r="E21" s="11">
        <f t="shared" si="53"/>
        <v>0.11195521791283487</v>
      </c>
      <c r="F21" s="11">
        <f t="shared" si="53"/>
        <v>0.12644105615470436</v>
      </c>
      <c r="G21" s="11">
        <f t="shared" si="53"/>
        <v>0.11123637730176625</v>
      </c>
      <c r="H21" s="11">
        <f t="shared" si="53"/>
        <v>0.13652234636871508</v>
      </c>
      <c r="I21" s="11">
        <f t="shared" si="53"/>
        <v>0.14229249011857709</v>
      </c>
      <c r="J21" s="11">
        <f t="shared" si="53"/>
        <v>0.14308275426405559</v>
      </c>
      <c r="K21" s="11">
        <f t="shared" si="53"/>
        <v>0.11406969099276791</v>
      </c>
      <c r="L21" s="11">
        <f t="shared" si="53"/>
        <v>0.12559017941454201</v>
      </c>
      <c r="M21" s="11">
        <f t="shared" si="53"/>
        <v>0.10574918081620495</v>
      </c>
      <c r="N21" s="11">
        <f t="shared" si="53"/>
        <v>0.1176791065104876</v>
      </c>
      <c r="O21" s="11">
        <f t="shared" si="53"/>
        <v>8.9108910891089105E-2</v>
      </c>
      <c r="P21" s="11">
        <f>P7/P3</f>
        <v>9.0097189387969526E-2</v>
      </c>
      <c r="Q21" s="11">
        <f t="shared" ref="Q21:R21" si="54">Q7/Q3</f>
        <v>8.3249749247743227E-2</v>
      </c>
      <c r="R21" s="11">
        <f t="shared" si="54"/>
        <v>9.2644978783592638E-2</v>
      </c>
      <c r="S21" s="11">
        <f t="shared" ref="S21:V21" si="55">S7/S3</f>
        <v>0.09</v>
      </c>
      <c r="T21" s="11">
        <f t="shared" si="55"/>
        <v>0.09</v>
      </c>
      <c r="U21" s="11">
        <f t="shared" si="55"/>
        <v>0.09</v>
      </c>
      <c r="V21" s="11">
        <f t="shared" si="55"/>
        <v>0.09</v>
      </c>
      <c r="X21" s="11" t="e">
        <f t="shared" ref="X21:AN21" si="56">X7/X3</f>
        <v>#DIV/0!</v>
      </c>
      <c r="Y21" s="11" t="e">
        <f t="shared" si="56"/>
        <v>#DIV/0!</v>
      </c>
      <c r="Z21" s="11">
        <f t="shared" si="56"/>
        <v>0.11739760033098882</v>
      </c>
      <c r="AA21" s="11">
        <f t="shared" si="56"/>
        <v>0.13404962906114096</v>
      </c>
      <c r="AB21" s="11">
        <f t="shared" si="56"/>
        <v>0.11572431493923152</v>
      </c>
      <c r="AC21" s="11">
        <f t="shared" si="56"/>
        <v>8.88151598290053E-2</v>
      </c>
      <c r="AD21" s="11">
        <f t="shared" si="56"/>
        <v>0.09</v>
      </c>
      <c r="AE21" s="11">
        <f t="shared" si="56"/>
        <v>0.08</v>
      </c>
      <c r="AF21" s="11">
        <f t="shared" si="56"/>
        <v>0.08</v>
      </c>
      <c r="AG21" s="11">
        <f t="shared" si="56"/>
        <v>0.08</v>
      </c>
      <c r="AH21" s="11">
        <f t="shared" si="56"/>
        <v>0.08</v>
      </c>
      <c r="AI21" s="11">
        <f t="shared" si="56"/>
        <v>0.08</v>
      </c>
      <c r="AJ21" s="11">
        <f t="shared" si="56"/>
        <v>0.08</v>
      </c>
      <c r="AK21" s="11">
        <f t="shared" si="56"/>
        <v>0.08</v>
      </c>
      <c r="AL21" s="11">
        <f t="shared" si="56"/>
        <v>0.08</v>
      </c>
      <c r="AM21" s="11">
        <f t="shared" si="56"/>
        <v>0.08</v>
      </c>
      <c r="AN21" s="11">
        <f t="shared" si="56"/>
        <v>0.08</v>
      </c>
      <c r="AP21" t="s">
        <v>51</v>
      </c>
      <c r="AQ21" s="2">
        <f>NPV(AQ20,AC14:ES14)</f>
        <v>72798.503446254254</v>
      </c>
    </row>
    <row r="22" spans="2:43" x14ac:dyDescent="0.3">
      <c r="B22" t="s">
        <v>46</v>
      </c>
      <c r="C22" s="11"/>
      <c r="D22" s="11"/>
      <c r="E22" s="11"/>
      <c r="F22" s="11"/>
      <c r="G22" s="11">
        <f t="shared" ref="G22:O22" si="57">G8/C8-1</f>
        <v>0.28431372549019618</v>
      </c>
      <c r="H22" s="11">
        <f t="shared" si="57"/>
        <v>0.46153846153846145</v>
      </c>
      <c r="I22" s="11">
        <f t="shared" si="57"/>
        <v>0.52380952380952372</v>
      </c>
      <c r="J22" s="11">
        <f t="shared" si="57"/>
        <v>0.30158730158730163</v>
      </c>
      <c r="K22" s="11">
        <f t="shared" si="57"/>
        <v>6.8702290076335881E-2</v>
      </c>
      <c r="L22" s="11">
        <f t="shared" si="57"/>
        <v>-5.8479532163742687E-2</v>
      </c>
      <c r="M22" s="11">
        <f t="shared" si="57"/>
        <v>-0.19374999999999998</v>
      </c>
      <c r="N22" s="11">
        <f t="shared" si="57"/>
        <v>-5.4878048780487854E-2</v>
      </c>
      <c r="O22" s="11">
        <f t="shared" si="57"/>
        <v>-0.12142857142857144</v>
      </c>
      <c r="P22" s="11">
        <f>P8/L8-1</f>
        <v>-0.22981366459627328</v>
      </c>
      <c r="Q22" s="11">
        <f t="shared" ref="Q22:R22" si="58">Q8/M8-1</f>
        <v>-0.13178294573643412</v>
      </c>
      <c r="R22" s="11">
        <f t="shared" si="58"/>
        <v>-0.2129032258064516</v>
      </c>
      <c r="S22" s="11">
        <f t="shared" ref="S22" si="59">S8/O8-1</f>
        <v>2.0000000000000018E-2</v>
      </c>
      <c r="T22" s="11">
        <f t="shared" ref="T22" si="60">T8/P8-1</f>
        <v>2.0000000000000018E-2</v>
      </c>
      <c r="U22" s="11">
        <f t="shared" ref="U22" si="61">U8/Q8-1</f>
        <v>2.0000000000000018E-2</v>
      </c>
      <c r="V22" s="11">
        <f t="shared" ref="V22" si="62">V8/R8-1</f>
        <v>2.0000000000000018E-2</v>
      </c>
      <c r="X22" s="11"/>
      <c r="Y22" s="11" t="e">
        <f>Y8/X8-1</f>
        <v>#DIV/0!</v>
      </c>
      <c r="Z22" s="11" t="e">
        <f t="shared" ref="Z22:AN22" si="63">Z8/Y8-1</f>
        <v>#DIV/0!</v>
      </c>
      <c r="AA22" s="11">
        <f t="shared" si="63"/>
        <v>0.39111111111111119</v>
      </c>
      <c r="AB22" s="11">
        <f t="shared" si="63"/>
        <v>-6.5495207667731647E-2</v>
      </c>
      <c r="AC22" s="11">
        <f t="shared" si="63"/>
        <v>-0.17777777777777781</v>
      </c>
      <c r="AD22" s="11">
        <f t="shared" si="63"/>
        <v>2.0000000000000018E-2</v>
      </c>
      <c r="AE22" s="11">
        <f t="shared" si="63"/>
        <v>2.0000000000000018E-2</v>
      </c>
      <c r="AF22" s="11">
        <f t="shared" si="63"/>
        <v>2.0000000000000018E-2</v>
      </c>
      <c r="AG22" s="11">
        <f t="shared" si="63"/>
        <v>2.0000000000000018E-2</v>
      </c>
      <c r="AH22" s="11">
        <f t="shared" si="63"/>
        <v>2.0000000000000018E-2</v>
      </c>
      <c r="AI22" s="11">
        <f t="shared" si="63"/>
        <v>2.0000000000000018E-2</v>
      </c>
      <c r="AJ22" s="11">
        <f t="shared" si="63"/>
        <v>2.0000000000000018E-2</v>
      </c>
      <c r="AK22" s="11">
        <f t="shared" si="63"/>
        <v>2.0000000000000018E-2</v>
      </c>
      <c r="AL22" s="11">
        <f t="shared" si="63"/>
        <v>2.0000000000000018E-2</v>
      </c>
      <c r="AM22" s="11">
        <f t="shared" si="63"/>
        <v>2.0000000000000018E-2</v>
      </c>
      <c r="AN22" s="11">
        <f t="shared" si="63"/>
        <v>2.0000000000000018E-2</v>
      </c>
      <c r="AP22" t="s">
        <v>52</v>
      </c>
      <c r="AQ22" s="2">
        <f>Main!D8</f>
        <v>7544</v>
      </c>
    </row>
    <row r="23" spans="2:43" x14ac:dyDescent="0.3">
      <c r="B23" t="s">
        <v>47</v>
      </c>
      <c r="C23" s="11">
        <f t="shared" ref="C23:O23" si="64">C9/C3</f>
        <v>6.5207265952491851E-3</v>
      </c>
      <c r="D23" s="11">
        <f t="shared" si="64"/>
        <v>5.1480051480051478E-3</v>
      </c>
      <c r="E23" s="11">
        <f t="shared" si="64"/>
        <v>2.9988004798080767E-2</v>
      </c>
      <c r="F23" s="11">
        <f t="shared" si="64"/>
        <v>-2.6031982149497955E-3</v>
      </c>
      <c r="G23" s="11">
        <f t="shared" si="64"/>
        <v>-2.2547914317925591E-3</v>
      </c>
      <c r="H23" s="11">
        <f t="shared" si="64"/>
        <v>-6.773743016759777E-2</v>
      </c>
      <c r="I23" s="11">
        <f t="shared" si="64"/>
        <v>-7.5098814229249009E-2</v>
      </c>
      <c r="J23" s="11">
        <f t="shared" si="64"/>
        <v>-7.2962728995578013E-2</v>
      </c>
      <c r="K23" s="11">
        <f t="shared" si="64"/>
        <v>-5.128205128205128E-2</v>
      </c>
      <c r="L23" s="11">
        <f t="shared" si="64"/>
        <v>-7.7746301542335541E-2</v>
      </c>
      <c r="M23" s="11">
        <f t="shared" si="64"/>
        <v>9.5323205242776286E-3</v>
      </c>
      <c r="N23" s="11">
        <f t="shared" si="64"/>
        <v>-2.0430400435848543E-2</v>
      </c>
      <c r="O23" s="11">
        <f t="shared" si="64"/>
        <v>4.6204620462046202E-2</v>
      </c>
      <c r="P23" s="11">
        <f>P9/P3</f>
        <v>6.9871289729445757E-2</v>
      </c>
      <c r="Q23" s="11">
        <f t="shared" ref="Q23:R23" si="65">Q9/Q3</f>
        <v>0.11384152457372117</v>
      </c>
      <c r="R23" s="11">
        <f t="shared" si="65"/>
        <v>0.11244695898161244</v>
      </c>
      <c r="S23" s="11">
        <f t="shared" ref="S23:V23" si="66">S9/S3</f>
        <v>0.10510403214234468</v>
      </c>
      <c r="T23" s="11">
        <f t="shared" si="66"/>
        <v>0.11281084044266283</v>
      </c>
      <c r="U23" s="11">
        <f t="shared" si="66"/>
        <v>0.13902751733461252</v>
      </c>
      <c r="V23" s="11">
        <f t="shared" si="66"/>
        <v>0.14496017270900019</v>
      </c>
      <c r="X23" s="11" t="e">
        <f t="shared" ref="X23:AN23" si="67">X9/X3</f>
        <v>#DIV/0!</v>
      </c>
      <c r="Y23" s="11" t="e">
        <f t="shared" si="67"/>
        <v>#DIV/0!</v>
      </c>
      <c r="Z23" s="11">
        <f t="shared" si="67"/>
        <v>9.722796855606123E-3</v>
      </c>
      <c r="AA23" s="11">
        <f t="shared" si="67"/>
        <v>-5.6195105312526646E-2</v>
      </c>
      <c r="AB23" s="11">
        <f t="shared" si="67"/>
        <v>-3.3668000301955159E-2</v>
      </c>
      <c r="AC23" s="11">
        <f t="shared" si="67"/>
        <v>8.7092451987494421E-2</v>
      </c>
      <c r="AD23" s="11">
        <f t="shared" si="67"/>
        <v>0.12635140057603556</v>
      </c>
      <c r="AE23" s="11">
        <f t="shared" si="67"/>
        <v>0.16838448118708471</v>
      </c>
      <c r="AF23" s="11">
        <f t="shared" si="67"/>
        <v>0.18577470073711499</v>
      </c>
      <c r="AG23" s="11">
        <f t="shared" si="67"/>
        <v>0.20182586674482317</v>
      </c>
      <c r="AH23" s="11">
        <f t="shared" si="67"/>
        <v>0.2167244297034441</v>
      </c>
      <c r="AI23" s="11">
        <f t="shared" si="67"/>
        <v>0.23061581149300281</v>
      </c>
      <c r="AJ23" s="11">
        <f t="shared" si="67"/>
        <v>0.24361144124798384</v>
      </c>
      <c r="AK23" s="11">
        <f t="shared" si="67"/>
        <v>0.2457939714980415</v>
      </c>
      <c r="AL23" s="11">
        <f t="shared" si="67"/>
        <v>0.24791414374095452</v>
      </c>
      <c r="AM23" s="11">
        <f t="shared" si="67"/>
        <v>0.24997373963407016</v>
      </c>
      <c r="AN23" s="11">
        <f t="shared" si="67"/>
        <v>0.25197448993023958</v>
      </c>
      <c r="AP23" t="s">
        <v>53</v>
      </c>
      <c r="AQ23" s="2">
        <f>AQ21+AQ22</f>
        <v>80342.503446254254</v>
      </c>
    </row>
    <row r="24" spans="2:43" x14ac:dyDescent="0.3">
      <c r="B24" t="s">
        <v>23</v>
      </c>
      <c r="C24" s="11">
        <f t="shared" ref="C24:O24" si="68">C13/C12</f>
        <v>0.73563218390804597</v>
      </c>
      <c r="D24" s="11">
        <f t="shared" si="68"/>
        <v>3.5</v>
      </c>
      <c r="E24" s="11">
        <f t="shared" si="68"/>
        <v>0.98765432098765427</v>
      </c>
      <c r="F24" s="11">
        <f t="shared" si="68"/>
        <v>-3.875</v>
      </c>
      <c r="G24" s="11">
        <f t="shared" si="68"/>
        <v>0.15483870967741936</v>
      </c>
      <c r="H24" s="11">
        <f t="shared" si="68"/>
        <v>-0.3888888888888889</v>
      </c>
      <c r="I24" s="11">
        <f t="shared" si="68"/>
        <v>-0.15277777777777779</v>
      </c>
      <c r="J24" s="11">
        <f t="shared" si="68"/>
        <v>7.2164948453608241E-2</v>
      </c>
      <c r="K24" s="11">
        <f t="shared" si="68"/>
        <v>-9.2233009708737865E-2</v>
      </c>
      <c r="L24" s="11">
        <f t="shared" si="68"/>
        <v>-0.25311203319502074</v>
      </c>
      <c r="M24" s="11">
        <f t="shared" si="68"/>
        <v>0.1095890410958904</v>
      </c>
      <c r="N24" s="11">
        <f t="shared" si="68"/>
        <v>0.46564885496183206</v>
      </c>
      <c r="O24" s="11">
        <f t="shared" si="68"/>
        <v>-0.13218390804597702</v>
      </c>
      <c r="P24" s="11">
        <f>P13/P12</f>
        <v>-1.4814814814814815E-2</v>
      </c>
      <c r="Q24" s="11">
        <f t="shared" ref="Q24:R24" si="69">Q13/Q12</f>
        <v>0.24623115577889448</v>
      </c>
      <c r="R24" s="11">
        <f t="shared" si="69"/>
        <v>0.26452905811623245</v>
      </c>
      <c r="S24" s="11">
        <f t="shared" ref="S24:V24" si="70">S13/S12</f>
        <v>0.25</v>
      </c>
      <c r="T24" s="11">
        <f t="shared" si="70"/>
        <v>0.25</v>
      </c>
      <c r="U24" s="11">
        <f t="shared" si="70"/>
        <v>0.25</v>
      </c>
      <c r="V24" s="11">
        <f t="shared" si="70"/>
        <v>0.25</v>
      </c>
      <c r="X24" s="11" t="e">
        <f t="shared" ref="X24:AN24" si="71">X13/X12</f>
        <v>#DIV/0!</v>
      </c>
      <c r="Y24" s="11" t="e">
        <f t="shared" si="71"/>
        <v>#DIV/0!</v>
      </c>
      <c r="Z24" s="11">
        <f t="shared" si="71"/>
        <v>1.1365461847389557</v>
      </c>
      <c r="AA24" s="11">
        <f t="shared" si="71"/>
        <v>-0.16216216216216217</v>
      </c>
      <c r="AB24" s="11">
        <f t="shared" si="71"/>
        <v>-5.3465346534653464E-2</v>
      </c>
      <c r="AC24" s="11">
        <f t="shared" si="71"/>
        <v>0.15137956748695003</v>
      </c>
      <c r="AD24" s="11">
        <f t="shared" si="71"/>
        <v>0.24999999999999989</v>
      </c>
      <c r="AE24" s="11">
        <f t="shared" si="71"/>
        <v>0.2</v>
      </c>
      <c r="AF24" s="11">
        <f t="shared" si="71"/>
        <v>0.2</v>
      </c>
      <c r="AG24" s="11">
        <f t="shared" si="71"/>
        <v>0.2</v>
      </c>
      <c r="AH24" s="11">
        <f t="shared" si="71"/>
        <v>0.2</v>
      </c>
      <c r="AI24" s="11">
        <f t="shared" si="71"/>
        <v>0.20000000000000004</v>
      </c>
      <c r="AJ24" s="11">
        <f t="shared" si="71"/>
        <v>0.20000000000000004</v>
      </c>
      <c r="AK24" s="11">
        <f t="shared" si="71"/>
        <v>0.2</v>
      </c>
      <c r="AL24" s="11">
        <f t="shared" si="71"/>
        <v>0.2</v>
      </c>
      <c r="AM24" s="11">
        <f t="shared" si="71"/>
        <v>0.2</v>
      </c>
      <c r="AN24" s="11">
        <f t="shared" si="71"/>
        <v>0.2</v>
      </c>
      <c r="AP24" t="s">
        <v>58</v>
      </c>
      <c r="AQ24" s="2">
        <f>AQ23/Main!D15</f>
        <v>84269.460296050194</v>
      </c>
    </row>
    <row r="25" spans="2:43" x14ac:dyDescent="0.3">
      <c r="B25" t="s">
        <v>48</v>
      </c>
      <c r="C25" s="11">
        <f t="shared" ref="C25:O25" si="72">C14/C3</f>
        <v>1.0712622263623661E-2</v>
      </c>
      <c r="D25" s="11">
        <f t="shared" si="72"/>
        <v>-8.5800085800085794E-3</v>
      </c>
      <c r="E25" s="11">
        <f t="shared" si="72"/>
        <v>7.9968012794882047E-4</v>
      </c>
      <c r="F25" s="11">
        <f t="shared" si="72"/>
        <v>-1.4503532911863145E-2</v>
      </c>
      <c r="G25" s="11">
        <f t="shared" si="72"/>
        <v>4.9229612927470877E-2</v>
      </c>
      <c r="H25" s="11">
        <f t="shared" si="72"/>
        <v>-4.3645251396648044E-2</v>
      </c>
      <c r="I25" s="11">
        <f t="shared" si="72"/>
        <v>-5.4677206851119896E-2</v>
      </c>
      <c r="J25" s="11">
        <f t="shared" si="72"/>
        <v>-8.5281111813013261E-2</v>
      </c>
      <c r="K25" s="11">
        <f t="shared" si="72"/>
        <v>-7.3964497041420121E-2</v>
      </c>
      <c r="L25" s="11">
        <f t="shared" si="72"/>
        <v>-9.5058231035568153E-2</v>
      </c>
      <c r="M25" s="11">
        <f t="shared" si="72"/>
        <v>1.9362526064938934E-2</v>
      </c>
      <c r="N25" s="11">
        <f t="shared" si="72"/>
        <v>-1.9068373740125308E-2</v>
      </c>
      <c r="O25" s="11">
        <f t="shared" si="72"/>
        <v>5.4180418041804179E-2</v>
      </c>
      <c r="P25" s="11">
        <f>P14/P3</f>
        <v>7.1972681901759913E-2</v>
      </c>
      <c r="Q25" s="11">
        <f t="shared" ref="Q25:R25" si="73">Q14/Q3</f>
        <v>7.5225677031093285E-2</v>
      </c>
      <c r="R25" s="11">
        <f t="shared" si="73"/>
        <v>8.651579443658651E-2</v>
      </c>
      <c r="S25" s="11">
        <f t="shared" ref="S25:V25" si="74">S14/S3</f>
        <v>7.9925742574257441E-2</v>
      </c>
      <c r="T25" s="11">
        <f t="shared" si="74"/>
        <v>8.5307071641484225E-2</v>
      </c>
      <c r="U25" s="11">
        <f t="shared" si="74"/>
        <v>9.492957132266365E-2</v>
      </c>
      <c r="V25" s="11">
        <f t="shared" si="74"/>
        <v>0.11220036477331941</v>
      </c>
      <c r="X25" s="11" t="e">
        <f t="shared" ref="X25:AN25" si="75">X14/X3</f>
        <v>#DIV/0!</v>
      </c>
      <c r="Y25" s="11" t="e">
        <f t="shared" si="75"/>
        <v>#DIV/0!</v>
      </c>
      <c r="Z25" s="11">
        <f t="shared" si="75"/>
        <v>-3.5167563094745551E-3</v>
      </c>
      <c r="AA25" s="11">
        <f t="shared" si="75"/>
        <v>-3.6667519399675962E-2</v>
      </c>
      <c r="AB25" s="11">
        <f t="shared" si="75"/>
        <v>-4.0160036234619161E-2</v>
      </c>
      <c r="AC25" s="11">
        <f t="shared" si="75"/>
        <v>7.2608945319977025E-2</v>
      </c>
      <c r="AD25" s="11">
        <f t="shared" si="75"/>
        <v>9.3742502723628121E-2</v>
      </c>
      <c r="AE25" s="11">
        <f t="shared" si="75"/>
        <v>0.13399123084314052</v>
      </c>
      <c r="AF25" s="11">
        <f t="shared" si="75"/>
        <v>0.14821089949433758</v>
      </c>
      <c r="AG25" s="11">
        <f t="shared" si="75"/>
        <v>0.16131702273617965</v>
      </c>
      <c r="AH25" s="11">
        <f t="shared" si="75"/>
        <v>0.17346947930355991</v>
      </c>
      <c r="AI25" s="11">
        <f t="shared" si="75"/>
        <v>0.1847934510036483</v>
      </c>
      <c r="AJ25" s="11">
        <f t="shared" si="75"/>
        <v>0.19538556478301336</v>
      </c>
      <c r="AK25" s="11">
        <f t="shared" si="75"/>
        <v>0.19731848063142268</v>
      </c>
      <c r="AL25" s="11">
        <f t="shared" si="75"/>
        <v>0.19919047034325502</v>
      </c>
      <c r="AM25" s="11">
        <f t="shared" si="75"/>
        <v>0.20100345447316406</v>
      </c>
      <c r="AN25" s="11">
        <f t="shared" si="75"/>
        <v>0.20275929256410888</v>
      </c>
      <c r="AP25" t="s">
        <v>54</v>
      </c>
      <c r="AQ25" s="3">
        <f>AQ24/AN15</f>
        <v>413.49097299337677</v>
      </c>
    </row>
    <row r="26" spans="2:43" x14ac:dyDescent="0.3">
      <c r="AP26" t="s">
        <v>55</v>
      </c>
      <c r="AQ26" s="3">
        <f>Main!D3</f>
        <v>551.44000000000005</v>
      </c>
    </row>
    <row r="27" spans="2:43" x14ac:dyDescent="0.3">
      <c r="AP27" s="1" t="s">
        <v>56</v>
      </c>
      <c r="AQ27" s="12">
        <f>AQ25/AQ26-1</f>
        <v>-0.25016144459347034</v>
      </c>
    </row>
    <row r="28" spans="2:43" x14ac:dyDescent="0.3">
      <c r="AP28" t="s">
        <v>57</v>
      </c>
      <c r="AQ28" s="8" t="s">
        <v>63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2024-07-31T12:57:27Z</dcterms:created>
  <dcterms:modified xsi:type="dcterms:W3CDTF">2025-04-04T09:06:56Z</dcterms:modified>
</cp:coreProperties>
</file>