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2C7093B-B579-4FC7-8177-459B011D7819}" xr6:coauthVersionLast="47" xr6:coauthVersionMax="47" xr10:uidLastSave="{00000000-0000-0000-0000-000000000000}"/>
  <bookViews>
    <workbookView xWindow="-108" yWindow="-108" windowWidth="23256" windowHeight="12576" activeTab="1" xr2:uid="{1D79A3FB-6F62-42D1-AFB0-115F58C1A2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I4" i="2" s="1"/>
  <c r="AG4" i="2"/>
  <c r="AH5" i="2"/>
  <c r="AG5" i="2"/>
  <c r="AF5" i="2"/>
  <c r="AE5" i="2"/>
  <c r="AD5" i="2"/>
  <c r="AC5" i="2"/>
  <c r="Z5" i="2"/>
  <c r="AA5" i="2"/>
  <c r="R5" i="2"/>
  <c r="Q5" i="2"/>
  <c r="Q9" i="2" s="1"/>
  <c r="P5" i="2"/>
  <c r="AI7" i="2"/>
  <c r="AH7" i="2"/>
  <c r="AG7" i="2"/>
  <c r="AF7" i="2"/>
  <c r="AE7" i="2"/>
  <c r="AD7" i="2"/>
  <c r="AC7" i="2"/>
  <c r="AB7" i="2"/>
  <c r="AA7" i="2"/>
  <c r="Q4" i="2"/>
  <c r="Q28" i="2" s="1"/>
  <c r="P4" i="2"/>
  <c r="Y4" i="2" s="1"/>
  <c r="Z4" i="2" s="1"/>
  <c r="P3" i="2"/>
  <c r="AI20" i="2"/>
  <c r="AH20" i="2"/>
  <c r="AG20" i="2"/>
  <c r="AF20" i="2"/>
  <c r="AE20" i="2"/>
  <c r="AD20" i="2"/>
  <c r="AC20" i="2"/>
  <c r="AB20" i="2"/>
  <c r="AA20" i="2"/>
  <c r="Z20" i="2"/>
  <c r="Y20" i="2"/>
  <c r="R20" i="2"/>
  <c r="Q20" i="2"/>
  <c r="P20" i="2"/>
  <c r="O20" i="2"/>
  <c r="D6" i="1"/>
  <c r="D8" i="1" s="1"/>
  <c r="AM27" i="2" s="1"/>
  <c r="D4" i="1"/>
  <c r="D5" i="1"/>
  <c r="R6" i="2"/>
  <c r="R26" i="2" s="1"/>
  <c r="Y15" i="2"/>
  <c r="Y13" i="2"/>
  <c r="Z13" i="2" s="1"/>
  <c r="Y12" i="2"/>
  <c r="Z12" i="2" s="1"/>
  <c r="Y3" i="2"/>
  <c r="Z3" i="2" s="1"/>
  <c r="Z7" i="2" s="1"/>
  <c r="R15" i="2"/>
  <c r="Q15" i="2"/>
  <c r="P15" i="2"/>
  <c r="R13" i="2"/>
  <c r="Q13" i="2"/>
  <c r="Q32" i="2" s="1"/>
  <c r="P13" i="2"/>
  <c r="O32" i="2"/>
  <c r="R12" i="2"/>
  <c r="Q12" i="2"/>
  <c r="Q31" i="2" s="1"/>
  <c r="P12" i="2"/>
  <c r="P31" i="2" s="1"/>
  <c r="O31" i="2"/>
  <c r="Q8" i="2"/>
  <c r="R8" i="2"/>
  <c r="R28" i="2" s="1"/>
  <c r="O28" i="2"/>
  <c r="R7" i="2"/>
  <c r="R27" i="2" s="1"/>
  <c r="Q7" i="2"/>
  <c r="P7" i="2"/>
  <c r="P27" i="2" s="1"/>
  <c r="O27" i="2"/>
  <c r="Q27" i="2"/>
  <c r="R32" i="2"/>
  <c r="P32" i="2"/>
  <c r="R31" i="2"/>
  <c r="O25" i="2"/>
  <c r="R24" i="2"/>
  <c r="P24" i="2"/>
  <c r="O24" i="2"/>
  <c r="R23" i="2"/>
  <c r="Q23" i="2"/>
  <c r="P23" i="2"/>
  <c r="O23" i="2"/>
  <c r="O6" i="2"/>
  <c r="O26" i="2" s="1"/>
  <c r="R4" i="2"/>
  <c r="Q3" i="2"/>
  <c r="R3" i="2"/>
  <c r="AM30" i="2"/>
  <c r="N17" i="2"/>
  <c r="X20" i="2"/>
  <c r="N20" i="2"/>
  <c r="V32" i="2"/>
  <c r="U32" i="2"/>
  <c r="V31" i="2"/>
  <c r="U31" i="2"/>
  <c r="V29" i="2"/>
  <c r="U29" i="2"/>
  <c r="T29" i="2"/>
  <c r="V28" i="2"/>
  <c r="U28" i="2"/>
  <c r="T28" i="2"/>
  <c r="V27" i="2"/>
  <c r="U27" i="2"/>
  <c r="T27" i="2"/>
  <c r="V25" i="2"/>
  <c r="U25" i="2"/>
  <c r="V24" i="2"/>
  <c r="U24" i="2"/>
  <c r="V23" i="2"/>
  <c r="U23" i="2"/>
  <c r="T20" i="2"/>
  <c r="T10" i="2"/>
  <c r="T6" i="2"/>
  <c r="U20" i="2"/>
  <c r="U10" i="2"/>
  <c r="U6" i="2"/>
  <c r="V20" i="2"/>
  <c r="V10" i="2"/>
  <c r="V6" i="2"/>
  <c r="V26" i="2" s="1"/>
  <c r="W18" i="2"/>
  <c r="W17" i="2"/>
  <c r="W15" i="2"/>
  <c r="W13" i="2"/>
  <c r="W32" i="2" s="1"/>
  <c r="W12" i="2"/>
  <c r="W31" i="2" s="1"/>
  <c r="W9" i="2"/>
  <c r="W8" i="2"/>
  <c r="W7" i="2"/>
  <c r="W5" i="2"/>
  <c r="W4" i="2"/>
  <c r="W3" i="2"/>
  <c r="W20" i="2"/>
  <c r="X17" i="2"/>
  <c r="X15" i="2"/>
  <c r="N32" i="2"/>
  <c r="X12" i="2"/>
  <c r="X31" i="2" s="1"/>
  <c r="X5" i="2"/>
  <c r="N24" i="2"/>
  <c r="L32" i="2"/>
  <c r="K32" i="2"/>
  <c r="J32" i="2"/>
  <c r="L31" i="2"/>
  <c r="K31" i="2"/>
  <c r="J31" i="2"/>
  <c r="L29" i="2"/>
  <c r="K29" i="2"/>
  <c r="J29" i="2"/>
  <c r="I29" i="2"/>
  <c r="H29" i="2"/>
  <c r="G29" i="2"/>
  <c r="F29" i="2"/>
  <c r="L28" i="2"/>
  <c r="K28" i="2"/>
  <c r="J28" i="2"/>
  <c r="I28" i="2"/>
  <c r="H28" i="2"/>
  <c r="G28" i="2"/>
  <c r="F28" i="2"/>
  <c r="L27" i="2"/>
  <c r="K27" i="2"/>
  <c r="J27" i="2"/>
  <c r="I27" i="2"/>
  <c r="H27" i="2"/>
  <c r="G27" i="2"/>
  <c r="F27" i="2"/>
  <c r="L25" i="2"/>
  <c r="K25" i="2"/>
  <c r="J25" i="2"/>
  <c r="L24" i="2"/>
  <c r="K24" i="2"/>
  <c r="J24" i="2"/>
  <c r="L23" i="2"/>
  <c r="K23" i="2"/>
  <c r="J23" i="2"/>
  <c r="M32" i="2"/>
  <c r="M31" i="2"/>
  <c r="M29" i="2"/>
  <c r="M28" i="2"/>
  <c r="M27" i="2"/>
  <c r="M25" i="2"/>
  <c r="M24" i="2"/>
  <c r="M23" i="2"/>
  <c r="F20" i="2"/>
  <c r="F10" i="2"/>
  <c r="F6" i="2"/>
  <c r="J20" i="2"/>
  <c r="J10" i="2"/>
  <c r="J6" i="2"/>
  <c r="G20" i="2"/>
  <c r="G10" i="2"/>
  <c r="G6" i="2"/>
  <c r="K20" i="2"/>
  <c r="K10" i="2"/>
  <c r="K6" i="2"/>
  <c r="H20" i="2"/>
  <c r="H10" i="2"/>
  <c r="H6" i="2"/>
  <c r="L20" i="2"/>
  <c r="L10" i="2"/>
  <c r="L6" i="2"/>
  <c r="I20" i="2"/>
  <c r="I10" i="2"/>
  <c r="I6" i="2"/>
  <c r="M20" i="2"/>
  <c r="M10" i="2"/>
  <c r="M6" i="2"/>
  <c r="F3" i="1"/>
  <c r="Q25" i="2" l="1"/>
  <c r="Q10" i="2"/>
  <c r="Q24" i="2"/>
  <c r="Q6" i="2"/>
  <c r="Q26" i="2" s="1"/>
  <c r="P8" i="2"/>
  <c r="P28" i="2" s="1"/>
  <c r="Y7" i="2"/>
  <c r="Z8" i="2"/>
  <c r="AA4" i="2"/>
  <c r="O10" i="2"/>
  <c r="O11" i="2" s="1"/>
  <c r="AA3" i="2"/>
  <c r="AB3" i="2" s="1"/>
  <c r="AC3" i="2" s="1"/>
  <c r="AD3" i="2" s="1"/>
  <c r="AE3" i="2" s="1"/>
  <c r="AF3" i="2" s="1"/>
  <c r="AG3" i="2" s="1"/>
  <c r="AH3" i="2" s="1"/>
  <c r="AI3" i="2" s="1"/>
  <c r="D9" i="1"/>
  <c r="R25" i="2"/>
  <c r="R9" i="2"/>
  <c r="R10" i="2" s="1"/>
  <c r="R11" i="2" s="1"/>
  <c r="Y5" i="2"/>
  <c r="AB5" i="2" s="1"/>
  <c r="AI5" i="2" s="1"/>
  <c r="P6" i="2"/>
  <c r="P26" i="2" s="1"/>
  <c r="P9" i="2"/>
  <c r="P29" i="2" s="1"/>
  <c r="P25" i="2"/>
  <c r="Z15" i="2"/>
  <c r="AA15" i="2" s="1"/>
  <c r="AB15" i="2" s="1"/>
  <c r="AC15" i="2" s="1"/>
  <c r="AD15" i="2" s="1"/>
  <c r="AE15" i="2" s="1"/>
  <c r="AF15" i="2" s="1"/>
  <c r="AG15" i="2" s="1"/>
  <c r="AH15" i="2" s="1"/>
  <c r="AI15" i="2" s="1"/>
  <c r="Q29" i="2"/>
  <c r="O29" i="2"/>
  <c r="J26" i="2"/>
  <c r="N6" i="2"/>
  <c r="N26" i="2" s="1"/>
  <c r="X7" i="2"/>
  <c r="K26" i="2"/>
  <c r="U26" i="2"/>
  <c r="W27" i="2"/>
  <c r="W28" i="2"/>
  <c r="W29" i="2"/>
  <c r="N31" i="2"/>
  <c r="L26" i="2"/>
  <c r="W23" i="2"/>
  <c r="X25" i="2"/>
  <c r="M11" i="2"/>
  <c r="N28" i="2"/>
  <c r="X13" i="2"/>
  <c r="W25" i="2"/>
  <c r="X3" i="2"/>
  <c r="X4" i="2"/>
  <c r="M26" i="2"/>
  <c r="T11" i="2"/>
  <c r="U11" i="2"/>
  <c r="V11" i="2"/>
  <c r="W24" i="2"/>
  <c r="W10" i="2"/>
  <c r="W6" i="2"/>
  <c r="W26" i="2" s="1"/>
  <c r="N25" i="2"/>
  <c r="N23" i="2"/>
  <c r="F11" i="2"/>
  <c r="J11" i="2"/>
  <c r="G11" i="2"/>
  <c r="K11" i="2"/>
  <c r="H11" i="2"/>
  <c r="L11" i="2"/>
  <c r="I11" i="2"/>
  <c r="Q11" i="2" l="1"/>
  <c r="Q30" i="2" s="1"/>
  <c r="Y8" i="2"/>
  <c r="Y28" i="2" s="1"/>
  <c r="AA8" i="2"/>
  <c r="AB4" i="2"/>
  <c r="R30" i="2"/>
  <c r="R14" i="2"/>
  <c r="R29" i="2"/>
  <c r="Y25" i="2"/>
  <c r="P10" i="2"/>
  <c r="P11" i="2" s="1"/>
  <c r="P30" i="2" s="1"/>
  <c r="Y9" i="2"/>
  <c r="Y29" i="2" s="1"/>
  <c r="O30" i="2"/>
  <c r="O14" i="2"/>
  <c r="N27" i="2"/>
  <c r="Y23" i="2"/>
  <c r="Y6" i="2"/>
  <c r="Z9" i="2"/>
  <c r="Z29" i="2" s="1"/>
  <c r="Z25" i="2"/>
  <c r="X32" i="2"/>
  <c r="X6" i="2"/>
  <c r="X26" i="2" s="1"/>
  <c r="Y31" i="2"/>
  <c r="AA12" i="2"/>
  <c r="Y24" i="2"/>
  <c r="V14" i="2"/>
  <c r="V30" i="2"/>
  <c r="G14" i="2"/>
  <c r="G30" i="2"/>
  <c r="N10" i="2"/>
  <c r="N11" i="2" s="1"/>
  <c r="X8" i="2"/>
  <c r="U14" i="2"/>
  <c r="U30" i="2"/>
  <c r="T14" i="2"/>
  <c r="T30" i="2"/>
  <c r="N29" i="2"/>
  <c r="X9" i="2"/>
  <c r="X29" i="2" s="1"/>
  <c r="L14" i="2"/>
  <c r="L30" i="2"/>
  <c r="X23" i="2"/>
  <c r="X27" i="2"/>
  <c r="J14" i="2"/>
  <c r="J30" i="2"/>
  <c r="F14" i="2"/>
  <c r="F30" i="2"/>
  <c r="M14" i="2"/>
  <c r="M30" i="2"/>
  <c r="I14" i="2"/>
  <c r="I30" i="2"/>
  <c r="X24" i="2"/>
  <c r="H14" i="2"/>
  <c r="H30" i="2"/>
  <c r="K14" i="2"/>
  <c r="K30" i="2"/>
  <c r="W11" i="2"/>
  <c r="Q14" i="2" l="1"/>
  <c r="Q33" i="2" s="1"/>
  <c r="AB8" i="2"/>
  <c r="AC4" i="2"/>
  <c r="R33" i="2"/>
  <c r="R16" i="2"/>
  <c r="P14" i="2"/>
  <c r="P16" i="2" s="1"/>
  <c r="O33" i="2"/>
  <c r="O16" i="2"/>
  <c r="Z31" i="2"/>
  <c r="Z27" i="2"/>
  <c r="Z6" i="2"/>
  <c r="Z26" i="2" s="1"/>
  <c r="Z23" i="2"/>
  <c r="AB12" i="2"/>
  <c r="AA31" i="2"/>
  <c r="Y26" i="2"/>
  <c r="Z28" i="2"/>
  <c r="Z24" i="2"/>
  <c r="Y32" i="2"/>
  <c r="AA9" i="2"/>
  <c r="AA29" i="2" s="1"/>
  <c r="AA25" i="2"/>
  <c r="X10" i="2"/>
  <c r="X11" i="2" s="1"/>
  <c r="X14" i="2" s="1"/>
  <c r="Y27" i="2"/>
  <c r="Y10" i="2"/>
  <c r="Y11" i="2" s="1"/>
  <c r="U16" i="2"/>
  <c r="U33" i="2"/>
  <c r="K16" i="2"/>
  <c r="K33" i="2"/>
  <c r="M16" i="2"/>
  <c r="M33" i="2"/>
  <c r="L16" i="2"/>
  <c r="L33" i="2"/>
  <c r="N14" i="2"/>
  <c r="N30" i="2"/>
  <c r="W14" i="2"/>
  <c r="W30" i="2"/>
  <c r="I16" i="2"/>
  <c r="I33" i="2"/>
  <c r="G16" i="2"/>
  <c r="G33" i="2"/>
  <c r="F16" i="2"/>
  <c r="F33" i="2"/>
  <c r="X28" i="2"/>
  <c r="H16" i="2"/>
  <c r="H33" i="2"/>
  <c r="J16" i="2"/>
  <c r="J33" i="2"/>
  <c r="T16" i="2"/>
  <c r="T33" i="2"/>
  <c r="V16" i="2"/>
  <c r="V33" i="2"/>
  <c r="Q16" i="2" l="1"/>
  <c r="Q17" i="2" s="1"/>
  <c r="Q34" i="2" s="1"/>
  <c r="P33" i="2"/>
  <c r="AD4" i="2"/>
  <c r="AC8" i="2"/>
  <c r="R17" i="2"/>
  <c r="R34" i="2" s="1"/>
  <c r="R18" i="2"/>
  <c r="R35" i="2" s="1"/>
  <c r="P18" i="2"/>
  <c r="P35" i="2" s="1"/>
  <c r="P17" i="2"/>
  <c r="P34" i="2" s="1"/>
  <c r="X30" i="2"/>
  <c r="AA13" i="2"/>
  <c r="Z32" i="2"/>
  <c r="AA27" i="2"/>
  <c r="AA23" i="2"/>
  <c r="AA6" i="2"/>
  <c r="AA26" i="2" s="1"/>
  <c r="AB9" i="2"/>
  <c r="AB25" i="2"/>
  <c r="Y30" i="2"/>
  <c r="Y14" i="2"/>
  <c r="AB31" i="2"/>
  <c r="AC12" i="2"/>
  <c r="AA28" i="2"/>
  <c r="AA24" i="2"/>
  <c r="Z10" i="2"/>
  <c r="Z11" i="2" s="1"/>
  <c r="N16" i="2"/>
  <c r="N33" i="2"/>
  <c r="I19" i="2"/>
  <c r="I34" i="2"/>
  <c r="I35" i="2"/>
  <c r="X16" i="2"/>
  <c r="X33" i="2"/>
  <c r="M19" i="2"/>
  <c r="M35" i="2"/>
  <c r="M34" i="2"/>
  <c r="G19" i="2"/>
  <c r="G34" i="2"/>
  <c r="G35" i="2"/>
  <c r="J19" i="2"/>
  <c r="J35" i="2"/>
  <c r="J34" i="2"/>
  <c r="L19" i="2"/>
  <c r="L34" i="2"/>
  <c r="L35" i="2"/>
  <c r="V19" i="2"/>
  <c r="V35" i="2"/>
  <c r="V34" i="2"/>
  <c r="U19" i="2"/>
  <c r="U35" i="2"/>
  <c r="U34" i="2"/>
  <c r="H19" i="2"/>
  <c r="H35" i="2"/>
  <c r="H34" i="2"/>
  <c r="F19" i="2"/>
  <c r="F34" i="2"/>
  <c r="F35" i="2"/>
  <c r="W16" i="2"/>
  <c r="W33" i="2"/>
  <c r="K19" i="2"/>
  <c r="K34" i="2"/>
  <c r="K35" i="2"/>
  <c r="T19" i="2"/>
  <c r="T34" i="2"/>
  <c r="T35" i="2"/>
  <c r="Q18" i="2" l="1"/>
  <c r="Q35" i="2" s="1"/>
  <c r="Q19" i="2"/>
  <c r="Q36" i="2" s="1"/>
  <c r="AE4" i="2"/>
  <c r="AD8" i="2"/>
  <c r="R19" i="2"/>
  <c r="R21" i="2" s="1"/>
  <c r="P19" i="2"/>
  <c r="Y18" i="2"/>
  <c r="O35" i="2"/>
  <c r="O34" i="2"/>
  <c r="Y17" i="2"/>
  <c r="O19" i="2"/>
  <c r="AC9" i="2"/>
  <c r="AC29" i="2" s="1"/>
  <c r="AC25" i="2"/>
  <c r="AB24" i="2"/>
  <c r="AB28" i="2"/>
  <c r="AD12" i="2"/>
  <c r="AC31" i="2"/>
  <c r="AB23" i="2"/>
  <c r="AB6" i="2"/>
  <c r="AB26" i="2" s="1"/>
  <c r="AB27" i="2"/>
  <c r="Y16" i="2"/>
  <c r="Y33" i="2"/>
  <c r="Z30" i="2"/>
  <c r="Z14" i="2"/>
  <c r="AB29" i="2"/>
  <c r="AA10" i="2"/>
  <c r="AA11" i="2" s="1"/>
  <c r="AA32" i="2"/>
  <c r="AB13" i="2"/>
  <c r="X34" i="2"/>
  <c r="X18" i="2"/>
  <c r="X35" i="2" s="1"/>
  <c r="N34" i="2"/>
  <c r="M21" i="2"/>
  <c r="M36" i="2"/>
  <c r="T21" i="2"/>
  <c r="T36" i="2"/>
  <c r="F21" i="2"/>
  <c r="F36" i="2"/>
  <c r="U21" i="2"/>
  <c r="U36" i="2"/>
  <c r="J21" i="2"/>
  <c r="J36" i="2"/>
  <c r="V21" i="2"/>
  <c r="V36" i="2"/>
  <c r="L21" i="2"/>
  <c r="L36" i="2"/>
  <c r="W19" i="2"/>
  <c r="W35" i="2"/>
  <c r="W34" i="2"/>
  <c r="G21" i="2"/>
  <c r="G36" i="2"/>
  <c r="I21" i="2"/>
  <c r="I36" i="2"/>
  <c r="K21" i="2"/>
  <c r="K36" i="2"/>
  <c r="H21" i="2"/>
  <c r="H36" i="2"/>
  <c r="Q21" i="2" l="1"/>
  <c r="AE8" i="2"/>
  <c r="AF4" i="2"/>
  <c r="R36" i="2"/>
  <c r="P21" i="2"/>
  <c r="P36" i="2"/>
  <c r="O21" i="2"/>
  <c r="O36" i="2"/>
  <c r="AB10" i="2"/>
  <c r="AB11" i="2" s="1"/>
  <c r="AB14" i="2" s="1"/>
  <c r="Y34" i="2"/>
  <c r="Y35" i="2"/>
  <c r="AB32" i="2"/>
  <c r="AC13" i="2"/>
  <c r="AE12" i="2"/>
  <c r="AD31" i="2"/>
  <c r="AA30" i="2"/>
  <c r="AA14" i="2"/>
  <c r="AC24" i="2"/>
  <c r="AC28" i="2"/>
  <c r="AD9" i="2"/>
  <c r="AD25" i="2"/>
  <c r="X19" i="2"/>
  <c r="X21" i="2" s="1"/>
  <c r="AC6" i="2"/>
  <c r="AC26" i="2" s="1"/>
  <c r="AC23" i="2"/>
  <c r="AC10" i="2"/>
  <c r="Z33" i="2"/>
  <c r="Z16" i="2"/>
  <c r="N35" i="2"/>
  <c r="W21" i="2"/>
  <c r="W36" i="2"/>
  <c r="N19" i="2"/>
  <c r="AF8" i="2" l="1"/>
  <c r="AC11" i="2"/>
  <c r="AC14" i="2" s="1"/>
  <c r="X36" i="2"/>
  <c r="AB30" i="2"/>
  <c r="AE9" i="2"/>
  <c r="AE29" i="2" s="1"/>
  <c r="AE25" i="2"/>
  <c r="AE31" i="2"/>
  <c r="AF12" i="2"/>
  <c r="AC32" i="2"/>
  <c r="AD13" i="2"/>
  <c r="AD28" i="2"/>
  <c r="AD24" i="2"/>
  <c r="Z17" i="2"/>
  <c r="Z34" i="2" s="1"/>
  <c r="AA33" i="2"/>
  <c r="AA16" i="2"/>
  <c r="AB16" i="2"/>
  <c r="AB33" i="2"/>
  <c r="AC27" i="2"/>
  <c r="AD6" i="2"/>
  <c r="AD26" i="2" s="1"/>
  <c r="AD27" i="2"/>
  <c r="AD23" i="2"/>
  <c r="AD29" i="2"/>
  <c r="Y19" i="2"/>
  <c r="N36" i="2"/>
  <c r="N21" i="2"/>
  <c r="AG8" i="2" l="1"/>
  <c r="AC30" i="2"/>
  <c r="AD10" i="2"/>
  <c r="AD11" i="2" s="1"/>
  <c r="Z19" i="2"/>
  <c r="Z35" i="2"/>
  <c r="Y21" i="2"/>
  <c r="Y36" i="2"/>
  <c r="AB35" i="2"/>
  <c r="AB17" i="2"/>
  <c r="AB34" i="2" s="1"/>
  <c r="AE28" i="2"/>
  <c r="AE24" i="2"/>
  <c r="AA17" i="2"/>
  <c r="AA34" i="2" s="1"/>
  <c r="AF9" i="2"/>
  <c r="AF29" i="2" s="1"/>
  <c r="AF25" i="2"/>
  <c r="AE27" i="2"/>
  <c r="AE23" i="2"/>
  <c r="AE6" i="2"/>
  <c r="AE26" i="2" s="1"/>
  <c r="AG12" i="2"/>
  <c r="AF31" i="2"/>
  <c r="AD32" i="2"/>
  <c r="AE13" i="2"/>
  <c r="AC16" i="2"/>
  <c r="AC33" i="2"/>
  <c r="AI8" i="2" l="1"/>
  <c r="AH8" i="2"/>
  <c r="AG31" i="2"/>
  <c r="AH12" i="2"/>
  <c r="AF23" i="2"/>
  <c r="AF6" i="2"/>
  <c r="AF26" i="2" s="1"/>
  <c r="AB19" i="2"/>
  <c r="AC17" i="2"/>
  <c r="AC34" i="2" s="1"/>
  <c r="AA19" i="2"/>
  <c r="AA35" i="2"/>
  <c r="AE10" i="2"/>
  <c r="AE11" i="2" s="1"/>
  <c r="AF13" i="2"/>
  <c r="AE32" i="2"/>
  <c r="AD30" i="2"/>
  <c r="AD14" i="2"/>
  <c r="AF28" i="2"/>
  <c r="AF24" i="2"/>
  <c r="AG9" i="2"/>
  <c r="AG29" i="2" s="1"/>
  <c r="AG25" i="2"/>
  <c r="Z21" i="2"/>
  <c r="Z36" i="2"/>
  <c r="AH9" i="2" l="1"/>
  <c r="AH29" i="2" s="1"/>
  <c r="AH25" i="2"/>
  <c r="AG23" i="2"/>
  <c r="AG6" i="2"/>
  <c r="AG26" i="2" s="1"/>
  <c r="AF32" i="2"/>
  <c r="AG13" i="2"/>
  <c r="AF27" i="2"/>
  <c r="AF10" i="2"/>
  <c r="AF11" i="2" s="1"/>
  <c r="AD33" i="2"/>
  <c r="AD16" i="2"/>
  <c r="AA21" i="2"/>
  <c r="AA36" i="2"/>
  <c r="AH31" i="2"/>
  <c r="AI12" i="2"/>
  <c r="AI31" i="2" s="1"/>
  <c r="AB21" i="2"/>
  <c r="AB36" i="2"/>
  <c r="AE30" i="2"/>
  <c r="AE14" i="2"/>
  <c r="AG28" i="2"/>
  <c r="AG24" i="2"/>
  <c r="AC19" i="2"/>
  <c r="AC35" i="2"/>
  <c r="AG10" i="2" l="1"/>
  <c r="AG11" i="2" s="1"/>
  <c r="AG27" i="2"/>
  <c r="AI9" i="2"/>
  <c r="AI29" i="2" s="1"/>
  <c r="AI25" i="2"/>
  <c r="AC21" i="2"/>
  <c r="AC36" i="2"/>
  <c r="AH28" i="2"/>
  <c r="AH24" i="2"/>
  <c r="AH23" i="2"/>
  <c r="AH6" i="2"/>
  <c r="AH26" i="2" s="1"/>
  <c r="AF30" i="2"/>
  <c r="AF14" i="2"/>
  <c r="AE33" i="2"/>
  <c r="AE16" i="2"/>
  <c r="AD17" i="2"/>
  <c r="AD34" i="2" s="1"/>
  <c r="AH13" i="2"/>
  <c r="AG32" i="2"/>
  <c r="AF16" i="2" l="1"/>
  <c r="AF33" i="2"/>
  <c r="AG30" i="2"/>
  <c r="AG14" i="2"/>
  <c r="AI23" i="2"/>
  <c r="AI6" i="2"/>
  <c r="AI26" i="2" s="1"/>
  <c r="AE17" i="2"/>
  <c r="AE34" i="2" s="1"/>
  <c r="AI28" i="2"/>
  <c r="AI24" i="2"/>
  <c r="AI13" i="2"/>
  <c r="AI32" i="2" s="1"/>
  <c r="AH32" i="2"/>
  <c r="AD19" i="2"/>
  <c r="AD35" i="2"/>
  <c r="AH27" i="2"/>
  <c r="AH10" i="2"/>
  <c r="AH11" i="2" s="1"/>
  <c r="AF17" i="2" l="1"/>
  <c r="AF34" i="2" s="1"/>
  <c r="AF35" i="2"/>
  <c r="AG33" i="2"/>
  <c r="AG16" i="2"/>
  <c r="AI27" i="2"/>
  <c r="AI10" i="2"/>
  <c r="AI11" i="2" s="1"/>
  <c r="AE19" i="2"/>
  <c r="AE35" i="2"/>
  <c r="AD36" i="2"/>
  <c r="AD21" i="2"/>
  <c r="AH30" i="2"/>
  <c r="AH14" i="2"/>
  <c r="AG17" i="2" l="1"/>
  <c r="AG34" i="2" s="1"/>
  <c r="AG35" i="2"/>
  <c r="AF19" i="2"/>
  <c r="AE21" i="2"/>
  <c r="AE36" i="2"/>
  <c r="AI30" i="2"/>
  <c r="AI14" i="2"/>
  <c r="AH33" i="2"/>
  <c r="AH16" i="2"/>
  <c r="AG19" i="2" l="1"/>
  <c r="AG36" i="2" s="1"/>
  <c r="AF21" i="2"/>
  <c r="AF36" i="2"/>
  <c r="AI33" i="2"/>
  <c r="AI16" i="2"/>
  <c r="AH17" i="2"/>
  <c r="AH34" i="2" s="1"/>
  <c r="AG21" i="2" l="1"/>
  <c r="AH19" i="2"/>
  <c r="AH35" i="2"/>
  <c r="AI17" i="2"/>
  <c r="AI34" i="2" s="1"/>
  <c r="AH21" i="2" l="1"/>
  <c r="AH36" i="2"/>
  <c r="AI19" i="2"/>
  <c r="AI35" i="2"/>
  <c r="AJ19" i="2" l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AI21" i="2"/>
  <c r="AI36" i="2"/>
  <c r="AM26" i="2" l="1"/>
  <c r="AM28" i="2" s="1"/>
  <c r="AM29" i="2" s="1"/>
  <c r="AM31" i="2" s="1"/>
</calcChain>
</file>

<file path=xl/sharedStrings.xml><?xml version="1.0" encoding="utf-8"?>
<sst xmlns="http://schemas.openxmlformats.org/spreadsheetml/2006/main" count="73" uniqueCount="67">
  <si>
    <t>SYM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</si>
  <si>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</si>
  <si>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</si>
  <si>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</si>
  <si>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</si>
  <si>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</si>
  <si>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</si>
  <si>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</si>
  <si>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</si>
  <si>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</si>
  <si>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</si>
  <si>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Q324</t>
  </si>
  <si>
    <t>Q122</t>
  </si>
  <si>
    <t>Systems revenue</t>
  </si>
  <si>
    <t>Maintenance revenue</t>
  </si>
  <si>
    <t>Services revenue</t>
  </si>
  <si>
    <t>Total revenue</t>
  </si>
  <si>
    <t>Systems cost</t>
  </si>
  <si>
    <t>Maintenance cost</t>
  </si>
  <si>
    <t>Services cost</t>
  </si>
  <si>
    <t>Total cost of sales</t>
  </si>
  <si>
    <t>Gross profit</t>
  </si>
  <si>
    <t>R&amp;D</t>
  </si>
  <si>
    <t>SG&amp;A</t>
  </si>
  <si>
    <t>Operating profit</t>
  </si>
  <si>
    <t>Other income</t>
  </si>
  <si>
    <t>Pretax profit</t>
  </si>
  <si>
    <t>Taxes</t>
  </si>
  <si>
    <t>MI</t>
  </si>
  <si>
    <t>Net profit</t>
  </si>
  <si>
    <t>EPS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</si>
  <si>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</si>
  <si>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</si>
  <si>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</si>
  <si>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</si>
  <si>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</si>
  <si>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</si>
  <si>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</si>
  <si>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</si>
  <si>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</si>
  <si>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</si>
  <si>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Revenue y/y</t>
  </si>
  <si>
    <t>Gross Margin</t>
  </si>
  <si>
    <t>Systems revenue y/y</t>
  </si>
  <si>
    <t>Maintenance revenue y/y</t>
  </si>
  <si>
    <t>Services revenue y/y</t>
  </si>
  <si>
    <t>Systems Margin</t>
  </si>
  <si>
    <t>Maintenance Margin</t>
  </si>
  <si>
    <t>Services Margin</t>
  </si>
  <si>
    <t>R&amp;D y/y</t>
  </si>
  <si>
    <t>SG&amp;A y/y</t>
  </si>
  <si>
    <t>Operating Margin</t>
  </si>
  <si>
    <t>Net Margin</t>
  </si>
  <si>
    <t>Maturity</t>
  </si>
  <si>
    <t>Discount rate</t>
  </si>
  <si>
    <t>NPV</t>
  </si>
  <si>
    <t>Q125</t>
  </si>
  <si>
    <t>Q225</t>
  </si>
  <si>
    <t>Q325</t>
  </si>
  <si>
    <t>Q425</t>
  </si>
  <si>
    <t>Net cash</t>
  </si>
  <si>
    <t>Value</t>
  </si>
  <si>
    <t>Per share</t>
  </si>
  <si>
    <t>Current price</t>
  </si>
  <si>
    <t>Variance</t>
  </si>
  <si>
    <t>Consensus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</si>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</sst>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0</xdr:row>
      <xdr:rowOff>0</xdr:rowOff>
    </xdr:from>
    <xdr:to>
      <xdr:col>15</xdr:col>
      <xdr:colOff>30480</xdr:colOff>
      <xdr:row>39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B486D-911E-2EB7-CD63-78364B803AB3}"/>
            </a:ext>
          </a:extLst>
        </xdr:cNvPr>
        <xdr:cNvCxnSpPr/>
      </xdr:nvCxnSpPr>
      <xdr:spPr>
        <a:xfrm>
          <a:off x="11559540" y="0"/>
          <a:ext cx="0" cy="722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0</xdr:row>
      <xdr:rowOff>0</xdr:rowOff>
    </xdr:from>
    <xdr:to>
      <xdr:col>24</xdr:col>
      <xdr:colOff>15240</xdr:colOff>
      <xdr:row>39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B994D7D-9F03-F2D0-8EBC-4B66D4C16B1E}"/>
            </a:ext>
          </a:extLst>
        </xdr:cNvPr>
        <xdr:cNvCxnSpPr/>
      </xdr:nvCxnSpPr>
      <xdr:spPr>
        <a:xfrm>
          <a:off x="17945100" y="0"/>
          <a:ext cx="0" cy="7261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4548-11C4-4569-A3D7-DF6B4C158C12}">
  <dimension ref="B2:G9"/>
  <sheetViews>
    <sheetView workbookViewId="0">
      <selection activeCell="D4" sqref="D4"/>
    </sheetView>
  </sheetViews>
  <sheetFormatPr defaultRowHeight="14.4" x14ac:dyDescent="0.3"/>
  <cols>
    <col min="4" max="4" width="10" bestFit="1" customWidth="1"/>
    <col min="5" max="7" width="13.10937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3">
        <v>18.190000000000001</v>
      </c>
      <c r="E3" s="5">
        <v>45751</v>
      </c>
      <c r="F3" s="5">
        <f ca="1">TODAY()</f>
        <v>45751</v>
      </c>
      <c r="G3" s="5">
        <v>45782</v>
      </c>
    </row>
    <row r="4" spans="2:7" x14ac:dyDescent="0.3">
      <c r="C4" t="s">
        <v>2</v>
      </c>
      <c r="D4" s="6">
        <f>107.7+76.4+404.3</f>
        <v>588.40000000000009</v>
      </c>
      <c r="E4" s="4" t="s">
        <v>56</v>
      </c>
    </row>
    <row r="5" spans="2:7" x14ac:dyDescent="0.3">
      <c r="C5" t="s">
        <v>3</v>
      </c>
      <c r="D5" s="6">
        <f>D3*D4</f>
        <v>10702.996000000003</v>
      </c>
    </row>
    <row r="6" spans="2:7" x14ac:dyDescent="0.3">
      <c r="C6" t="s">
        <v>4</v>
      </c>
      <c r="D6" s="6">
        <f>903+85.9</f>
        <v>988.9</v>
      </c>
      <c r="E6" s="4" t="s">
        <v>56</v>
      </c>
    </row>
    <row r="7" spans="2:7" x14ac:dyDescent="0.3">
      <c r="C7" t="s">
        <v>5</v>
      </c>
      <c r="D7" s="6">
        <v>0</v>
      </c>
      <c r="E7" s="4" t="s">
        <v>56</v>
      </c>
    </row>
    <row r="8" spans="2:7" x14ac:dyDescent="0.3">
      <c r="C8" t="s">
        <v>6</v>
      </c>
      <c r="D8" s="6">
        <f>D6-D7</f>
        <v>988.9</v>
      </c>
    </row>
    <row r="9" spans="2:7" x14ac:dyDescent="0.3">
      <c r="C9" t="s">
        <v>7</v>
      </c>
      <c r="D9" s="6">
        <f>D5-D8</f>
        <v>9714.0960000000032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B211-3F53-4D10-A380-2FD723636F96}">
  <dimension ref="B1:EQ36"/>
  <sheetViews>
    <sheetView tabSelected="1" workbookViewId="0">
      <pane xSplit="2" ySplit="2" topLeftCell="Z19" activePane="bottomRight" state="frozen"/>
      <selection pane="topRight" activeCell="C1" sqref="C1"/>
      <selection pane="bottomLeft" activeCell="A3" sqref="A3"/>
      <selection pane="bottomRight" activeCell="AL20" sqref="AL20"/>
    </sheetView>
  </sheetViews>
  <sheetFormatPr defaultRowHeight="14.4" x14ac:dyDescent="0.3"/>
  <cols>
    <col min="2" max="2" width="22" bestFit="1" customWidth="1"/>
    <col min="3" max="14" width="10.5546875" bestFit="1" customWidth="1"/>
    <col min="15" max="18" width="10.5546875" customWidth="1"/>
    <col min="20" max="35" width="10.5546875" bestFit="1" customWidth="1"/>
    <col min="38" max="38" width="12" bestFit="1" customWidth="1"/>
    <col min="39" max="39" width="16.21875" bestFit="1" customWidth="1"/>
  </cols>
  <sheetData>
    <row r="1" spans="2:35" x14ac:dyDescent="0.3">
      <c r="C1" s="2">
        <v>44561</v>
      </c>
      <c r="D1" s="2">
        <v>44651</v>
      </c>
      <c r="E1" s="2">
        <v>44742</v>
      </c>
      <c r="F1" s="2">
        <v>44834</v>
      </c>
      <c r="G1" s="2">
        <v>44926</v>
      </c>
      <c r="H1" s="2">
        <v>45016</v>
      </c>
      <c r="I1" s="2">
        <v>45107</v>
      </c>
      <c r="J1" s="2">
        <v>45199</v>
      </c>
      <c r="K1" s="2">
        <v>45291</v>
      </c>
      <c r="L1" s="2">
        <v>45382</v>
      </c>
      <c r="M1" s="2">
        <v>45473</v>
      </c>
      <c r="N1" s="2">
        <v>45565</v>
      </c>
      <c r="O1" s="2">
        <v>45657</v>
      </c>
      <c r="P1" s="2">
        <v>45747</v>
      </c>
      <c r="Q1" s="2">
        <v>45838</v>
      </c>
      <c r="R1" s="2">
        <v>45930</v>
      </c>
      <c r="T1" s="2">
        <v>44104</v>
      </c>
      <c r="U1" s="2">
        <v>44469</v>
      </c>
      <c r="V1" s="2">
        <v>44834</v>
      </c>
      <c r="W1" s="2">
        <v>45199</v>
      </c>
      <c r="X1" s="2">
        <v>45565</v>
      </c>
      <c r="Y1" s="2">
        <v>45930</v>
      </c>
      <c r="Z1" s="2">
        <v>46295</v>
      </c>
      <c r="AA1" s="2">
        <v>46660</v>
      </c>
      <c r="AB1" s="2">
        <v>47026</v>
      </c>
      <c r="AC1" s="2">
        <v>47391</v>
      </c>
      <c r="AD1" s="2">
        <v>47756</v>
      </c>
      <c r="AE1" s="2">
        <v>48121</v>
      </c>
      <c r="AF1" s="2">
        <v>48487</v>
      </c>
      <c r="AG1" s="2">
        <v>48852</v>
      </c>
      <c r="AH1" s="2">
        <v>49217</v>
      </c>
      <c r="AI1" s="2">
        <v>49582</v>
      </c>
    </row>
    <row r="2" spans="2:35" x14ac:dyDescent="0.3">
      <c r="C2" s="7" t="s">
        <v>12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11</v>
      </c>
      <c r="N2" s="7" t="s">
        <v>40</v>
      </c>
      <c r="O2" s="7" t="s">
        <v>56</v>
      </c>
      <c r="P2" s="7" t="s">
        <v>57</v>
      </c>
      <c r="Q2" s="7" t="s">
        <v>58</v>
      </c>
      <c r="R2" s="7" t="s">
        <v>59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</row>
    <row r="3" spans="2:35" x14ac:dyDescent="0.3">
      <c r="B3" t="s">
        <v>13</v>
      </c>
      <c r="F3" s="6">
        <v>237.7</v>
      </c>
      <c r="G3" s="6">
        <v>197.9</v>
      </c>
      <c r="H3" s="6">
        <v>257.60000000000002</v>
      </c>
      <c r="I3" s="6">
        <v>302.39999999999998</v>
      </c>
      <c r="J3" s="6">
        <v>380.2</v>
      </c>
      <c r="K3" s="6">
        <v>347.7</v>
      </c>
      <c r="L3" s="6">
        <v>370.7</v>
      </c>
      <c r="M3" s="6">
        <v>450.6</v>
      </c>
      <c r="N3" s="6">
        <v>548.6</v>
      </c>
      <c r="O3" s="6">
        <v>464.1</v>
      </c>
      <c r="P3" s="6">
        <f>L3*1.35</f>
        <v>500.44499999999999</v>
      </c>
      <c r="Q3" s="6">
        <f>M3*1.35</f>
        <v>608.31000000000006</v>
      </c>
      <c r="R3" s="6">
        <f>N3*1.3</f>
        <v>713.18000000000006</v>
      </c>
      <c r="T3" s="6">
        <v>70.8</v>
      </c>
      <c r="U3" s="6">
        <v>227.6</v>
      </c>
      <c r="V3" s="6">
        <v>568</v>
      </c>
      <c r="W3" s="6">
        <f>SUM(G3:J3)</f>
        <v>1138.0999999999999</v>
      </c>
      <c r="X3" s="6">
        <f>SUM(K3:N3)</f>
        <v>1717.6</v>
      </c>
      <c r="Y3" s="6">
        <f>SUM(O3:R3)</f>
        <v>2286.0349999999999</v>
      </c>
      <c r="Z3" s="6">
        <f>Y3*1.25</f>
        <v>2857.5437499999998</v>
      </c>
      <c r="AA3" s="6">
        <f>Z3*1.2</f>
        <v>3429.0524999999998</v>
      </c>
      <c r="AB3" s="6">
        <f>AA3*1.15</f>
        <v>3943.4103749999995</v>
      </c>
      <c r="AC3" s="6">
        <f>AB3*1.1</f>
        <v>4337.7514124999998</v>
      </c>
      <c r="AD3" s="6">
        <f>AC3*1.08</f>
        <v>4684.7715255000003</v>
      </c>
      <c r="AE3" s="6">
        <f>AD3*1.06</f>
        <v>4965.8578170300007</v>
      </c>
      <c r="AF3" s="6">
        <f>AE3*1.05</f>
        <v>5214.1507078815011</v>
      </c>
      <c r="AG3" s="6">
        <f t="shared" ref="AG3:AI4" si="0">AF3*1.05</f>
        <v>5474.8582432755766</v>
      </c>
      <c r="AH3" s="6">
        <f t="shared" si="0"/>
        <v>5748.6011554393554</v>
      </c>
      <c r="AI3" s="6">
        <f t="shared" si="0"/>
        <v>6036.0312132113231</v>
      </c>
    </row>
    <row r="4" spans="2:35" x14ac:dyDescent="0.3">
      <c r="B4" t="s">
        <v>14</v>
      </c>
      <c r="F4" s="6">
        <v>0.9</v>
      </c>
      <c r="G4" s="6">
        <v>1.2</v>
      </c>
      <c r="H4" s="6">
        <v>1.5</v>
      </c>
      <c r="I4" s="6">
        <v>1.8</v>
      </c>
      <c r="J4" s="6">
        <v>2.1</v>
      </c>
      <c r="K4" s="6">
        <v>2.2000000000000002</v>
      </c>
      <c r="L4" s="6">
        <v>2.6</v>
      </c>
      <c r="M4" s="6">
        <v>3.5</v>
      </c>
      <c r="N4" s="6">
        <v>5.9</v>
      </c>
      <c r="O4" s="6">
        <v>5.5</v>
      </c>
      <c r="P4" s="6">
        <f>L4*2.4</f>
        <v>6.24</v>
      </c>
      <c r="Q4" s="6">
        <f>M4*2.4</f>
        <v>8.4</v>
      </c>
      <c r="R4" s="6">
        <f>N4*1.8</f>
        <v>10.620000000000001</v>
      </c>
      <c r="T4" s="6">
        <v>2.6</v>
      </c>
      <c r="U4" s="6">
        <v>4</v>
      </c>
      <c r="V4" s="6">
        <v>3.7</v>
      </c>
      <c r="W4" s="6">
        <f>SUM(G4:J4)</f>
        <v>6.6</v>
      </c>
      <c r="X4" s="6">
        <f>SUM(K4:N4)</f>
        <v>14.200000000000001</v>
      </c>
      <c r="Y4" s="6">
        <f>SUM(O4:R4)</f>
        <v>30.76</v>
      </c>
      <c r="Z4" s="6">
        <f>Y4*1.8</f>
        <v>55.368000000000002</v>
      </c>
      <c r="AA4" s="6">
        <f>Z4*1.6</f>
        <v>88.588800000000006</v>
      </c>
      <c r="AB4" s="6">
        <f>AA4*1.4</f>
        <v>124.02432</v>
      </c>
      <c r="AC4" s="6">
        <f>AB4*1.3</f>
        <v>161.231616</v>
      </c>
      <c r="AD4" s="6">
        <f>AC4*1.2</f>
        <v>193.47793920000001</v>
      </c>
      <c r="AE4" s="6">
        <f>AD4*1.1</f>
        <v>212.82573312000002</v>
      </c>
      <c r="AF4" s="6">
        <f t="shared" ref="AF4" si="1">AE4*1.1</f>
        <v>234.10830643200003</v>
      </c>
      <c r="AG4" s="6">
        <f>AF4*1.05</f>
        <v>245.81372175360005</v>
      </c>
      <c r="AH4" s="6">
        <f t="shared" si="0"/>
        <v>258.10440784128008</v>
      </c>
      <c r="AI4" s="6">
        <f t="shared" si="0"/>
        <v>271.00962823334407</v>
      </c>
    </row>
    <row r="5" spans="2:35" x14ac:dyDescent="0.3">
      <c r="B5" t="s">
        <v>15</v>
      </c>
      <c r="F5" s="6">
        <v>5.8</v>
      </c>
      <c r="G5" s="6">
        <v>7.2</v>
      </c>
      <c r="H5" s="6">
        <v>7.8</v>
      </c>
      <c r="I5" s="6">
        <v>7.7</v>
      </c>
      <c r="J5" s="6">
        <v>9.5</v>
      </c>
      <c r="K5" s="6">
        <v>10.1</v>
      </c>
      <c r="L5" s="6">
        <v>20.100000000000001</v>
      </c>
      <c r="M5" s="6">
        <v>16.2</v>
      </c>
      <c r="N5" s="6">
        <v>22.2</v>
      </c>
      <c r="O5" s="6">
        <v>17.100000000000001</v>
      </c>
      <c r="P5" s="6">
        <f>L5*1.2</f>
        <v>24.12</v>
      </c>
      <c r="Q5" s="6">
        <f>M5*1.6</f>
        <v>25.92</v>
      </c>
      <c r="R5" s="6">
        <f>N5*1.5</f>
        <v>33.299999999999997</v>
      </c>
      <c r="T5" s="6">
        <v>18.7</v>
      </c>
      <c r="U5" s="6">
        <v>20.3</v>
      </c>
      <c r="V5" s="6">
        <v>21.6</v>
      </c>
      <c r="W5" s="6">
        <f>SUM(G5:J5)</f>
        <v>32.200000000000003</v>
      </c>
      <c r="X5" s="6">
        <f>SUM(K5:N5)</f>
        <v>68.600000000000009</v>
      </c>
      <c r="Y5" s="6">
        <f>SUM(O5:R5)</f>
        <v>100.44</v>
      </c>
      <c r="Z5" s="6">
        <f>Y5*1.4</f>
        <v>140.61599999999999</v>
      </c>
      <c r="AA5" s="6">
        <f>Z5*1.35</f>
        <v>189.83159999999998</v>
      </c>
      <c r="AB5" s="6">
        <f>AA5*1.3</f>
        <v>246.78107999999997</v>
      </c>
      <c r="AC5" s="6">
        <f>AB5*1.25</f>
        <v>308.47634999999997</v>
      </c>
      <c r="AD5" s="6">
        <f>AC5*1.2</f>
        <v>370.17161999999996</v>
      </c>
      <c r="AE5" s="6">
        <f>AD5*1.15</f>
        <v>425.69736299999994</v>
      </c>
      <c r="AF5" s="6">
        <f>AE5*1.12</f>
        <v>476.78104655999999</v>
      </c>
      <c r="AG5" s="6">
        <f>AF5*1.09</f>
        <v>519.69134075040006</v>
      </c>
      <c r="AH5" s="6">
        <f>AG5*1.06</f>
        <v>550.87282119542408</v>
      </c>
      <c r="AI5" s="6">
        <f t="shared" ref="AI5" si="2">AH5*1.05</f>
        <v>578.41646225519526</v>
      </c>
    </row>
    <row r="6" spans="2:35" s="1" customFormat="1" x14ac:dyDescent="0.3">
      <c r="B6" s="1" t="s">
        <v>16</v>
      </c>
      <c r="F6" s="9">
        <f t="shared" ref="F6:N6" si="3">SUM(F3:F5)</f>
        <v>244.4</v>
      </c>
      <c r="G6" s="9">
        <f t="shared" si="3"/>
        <v>206.29999999999998</v>
      </c>
      <c r="H6" s="9">
        <f t="shared" si="3"/>
        <v>266.90000000000003</v>
      </c>
      <c r="I6" s="9">
        <f t="shared" si="3"/>
        <v>311.89999999999998</v>
      </c>
      <c r="J6" s="9">
        <f t="shared" si="3"/>
        <v>391.8</v>
      </c>
      <c r="K6" s="9">
        <f t="shared" si="3"/>
        <v>360</v>
      </c>
      <c r="L6" s="9">
        <f t="shared" si="3"/>
        <v>393.40000000000003</v>
      </c>
      <c r="M6" s="9">
        <f t="shared" si="3"/>
        <v>470.3</v>
      </c>
      <c r="N6" s="9">
        <f t="shared" si="3"/>
        <v>576.70000000000005</v>
      </c>
      <c r="O6" s="9">
        <f t="shared" ref="O6:R6" si="4">SUM(O3:O5)</f>
        <v>486.70000000000005</v>
      </c>
      <c r="P6" s="9">
        <f t="shared" si="4"/>
        <v>530.80499999999995</v>
      </c>
      <c r="Q6" s="9">
        <f t="shared" si="4"/>
        <v>642.63</v>
      </c>
      <c r="R6" s="9">
        <f t="shared" si="4"/>
        <v>757.1</v>
      </c>
      <c r="T6" s="9">
        <f>SUM(T3:T5)</f>
        <v>92.1</v>
      </c>
      <c r="U6" s="9">
        <f>SUM(U3:U5)</f>
        <v>251.9</v>
      </c>
      <c r="V6" s="9">
        <f>SUM(V3:V5)</f>
        <v>593.30000000000007</v>
      </c>
      <c r="W6" s="9">
        <f>SUM(W3:W5)</f>
        <v>1176.8999999999999</v>
      </c>
      <c r="X6" s="9">
        <f>SUM(X3:X5)</f>
        <v>1800.3999999999999</v>
      </c>
      <c r="Y6" s="9">
        <f t="shared" ref="Y6:AI6" si="5">SUM(Y3:Y5)</f>
        <v>2417.2350000000001</v>
      </c>
      <c r="Z6" s="9">
        <f t="shared" si="5"/>
        <v>3053.5277499999997</v>
      </c>
      <c r="AA6" s="9">
        <f t="shared" si="5"/>
        <v>3707.4728999999998</v>
      </c>
      <c r="AB6" s="9">
        <f t="shared" si="5"/>
        <v>4314.2157749999997</v>
      </c>
      <c r="AC6" s="9">
        <f t="shared" si="5"/>
        <v>4807.4593784999997</v>
      </c>
      <c r="AD6" s="9">
        <f t="shared" si="5"/>
        <v>5248.4210847000004</v>
      </c>
      <c r="AE6" s="9">
        <f t="shared" si="5"/>
        <v>5604.3809131500011</v>
      </c>
      <c r="AF6" s="9">
        <f t="shared" si="5"/>
        <v>5925.0400608735008</v>
      </c>
      <c r="AG6" s="9">
        <f t="shared" si="5"/>
        <v>6240.3633057795769</v>
      </c>
      <c r="AH6" s="9">
        <f t="shared" si="5"/>
        <v>6557.578384476059</v>
      </c>
      <c r="AI6" s="9">
        <f t="shared" si="5"/>
        <v>6885.4573036998627</v>
      </c>
    </row>
    <row r="7" spans="2:35" x14ac:dyDescent="0.3">
      <c r="B7" t="s">
        <v>17</v>
      </c>
      <c r="F7" s="6">
        <v>199.7</v>
      </c>
      <c r="G7" s="6">
        <v>160.9</v>
      </c>
      <c r="H7" s="6">
        <v>213.1</v>
      </c>
      <c r="I7" s="6">
        <v>244.7</v>
      </c>
      <c r="J7" s="6">
        <v>321.39999999999998</v>
      </c>
      <c r="K7" s="6">
        <v>283.89999999999998</v>
      </c>
      <c r="L7" s="6">
        <v>342.1</v>
      </c>
      <c r="M7" s="6">
        <v>398.8</v>
      </c>
      <c r="N7" s="6">
        <v>442</v>
      </c>
      <c r="O7" s="6">
        <v>381.8</v>
      </c>
      <c r="P7" s="6">
        <f t="shared" ref="P7:Q7" si="6">P3*0.8</f>
        <v>400.35599999999999</v>
      </c>
      <c r="Q7" s="6">
        <f t="shared" si="6"/>
        <v>486.64800000000008</v>
      </c>
      <c r="R7" s="6">
        <f>R3*0.82</f>
        <v>584.80759999999998</v>
      </c>
      <c r="T7" s="6">
        <v>79.3</v>
      </c>
      <c r="U7" s="6">
        <v>216.6</v>
      </c>
      <c r="V7" s="6">
        <v>464.2</v>
      </c>
      <c r="W7" s="6">
        <f>SUM(G7:J7)</f>
        <v>940.1</v>
      </c>
      <c r="X7" s="6">
        <f>SUM(K7:N7)</f>
        <v>1466.8</v>
      </c>
      <c r="Y7" s="6">
        <f>SUM(O7:R7)</f>
        <v>1853.6116000000002</v>
      </c>
      <c r="Z7" s="6">
        <f>Z3*0.8</f>
        <v>2286.0349999999999</v>
      </c>
      <c r="AA7" s="6">
        <f>AA3*0.79</f>
        <v>2708.9514749999998</v>
      </c>
      <c r="AB7" s="6">
        <f t="shared" ref="AB7:AI7" si="7">AB3*0.79</f>
        <v>3115.2941962499999</v>
      </c>
      <c r="AC7" s="6">
        <f t="shared" si="7"/>
        <v>3426.8236158750001</v>
      </c>
      <c r="AD7" s="6">
        <f t="shared" si="7"/>
        <v>3700.9695051450003</v>
      </c>
      <c r="AE7" s="6">
        <f t="shared" si="7"/>
        <v>3923.0276754537008</v>
      </c>
      <c r="AF7" s="6">
        <f t="shared" si="7"/>
        <v>4119.179059226386</v>
      </c>
      <c r="AG7" s="6">
        <f t="shared" si="7"/>
        <v>4325.1380121877055</v>
      </c>
      <c r="AH7" s="6">
        <f t="shared" si="7"/>
        <v>4541.3949127970909</v>
      </c>
      <c r="AI7" s="6">
        <f t="shared" si="7"/>
        <v>4768.4646584369457</v>
      </c>
    </row>
    <row r="8" spans="2:35" x14ac:dyDescent="0.3">
      <c r="B8" t="s">
        <v>18</v>
      </c>
      <c r="F8" s="6">
        <v>1.2</v>
      </c>
      <c r="G8" s="6">
        <v>1.7</v>
      </c>
      <c r="H8" s="6">
        <v>2.1</v>
      </c>
      <c r="I8" s="6">
        <v>3.6</v>
      </c>
      <c r="J8" s="6">
        <v>1.8</v>
      </c>
      <c r="K8" s="6">
        <v>1.7</v>
      </c>
      <c r="L8" s="6">
        <v>1.9</v>
      </c>
      <c r="M8" s="6">
        <v>2.5</v>
      </c>
      <c r="N8" s="6">
        <v>2.7</v>
      </c>
      <c r="O8" s="6">
        <v>1.9</v>
      </c>
      <c r="P8" s="6">
        <f t="shared" ref="P8" si="8">P4*0.7</f>
        <v>4.3679999999999994</v>
      </c>
      <c r="Q8" s="6">
        <f>Q4*0.68</f>
        <v>5.7120000000000006</v>
      </c>
      <c r="R8" s="6">
        <f>R4*0.6</f>
        <v>6.3720000000000008</v>
      </c>
      <c r="T8" s="6">
        <v>3.7</v>
      </c>
      <c r="U8" s="6">
        <v>3</v>
      </c>
      <c r="V8" s="6">
        <v>4.4000000000000004</v>
      </c>
      <c r="W8" s="6">
        <f>SUM(G8:J8)</f>
        <v>9.2000000000000011</v>
      </c>
      <c r="X8" s="6">
        <f>SUM(K8:N8)</f>
        <v>8.8000000000000007</v>
      </c>
      <c r="Y8" s="6">
        <f>SUM(O8:R8)</f>
        <v>18.352</v>
      </c>
      <c r="Z8" s="6">
        <f>Z4*0.65</f>
        <v>35.989200000000004</v>
      </c>
      <c r="AA8" s="6">
        <f t="shared" ref="AA8:AI8" si="9">AA4*0.65</f>
        <v>57.582720000000009</v>
      </c>
      <c r="AB8" s="6">
        <f t="shared" si="9"/>
        <v>80.615808000000001</v>
      </c>
      <c r="AC8" s="6">
        <f t="shared" si="9"/>
        <v>104.80055040000001</v>
      </c>
      <c r="AD8" s="6">
        <f t="shared" si="9"/>
        <v>125.76066048000001</v>
      </c>
      <c r="AE8" s="6">
        <f t="shared" si="9"/>
        <v>138.33672652800001</v>
      </c>
      <c r="AF8" s="6">
        <f t="shared" si="9"/>
        <v>152.17039918080002</v>
      </c>
      <c r="AG8" s="6">
        <f t="shared" si="9"/>
        <v>159.77891913984004</v>
      </c>
      <c r="AH8" s="6">
        <f t="shared" si="9"/>
        <v>167.76786509683205</v>
      </c>
      <c r="AI8" s="6">
        <f t="shared" si="9"/>
        <v>176.15625835167364</v>
      </c>
    </row>
    <row r="9" spans="2:35" x14ac:dyDescent="0.3">
      <c r="B9" t="s">
        <v>19</v>
      </c>
      <c r="F9" s="6">
        <v>6.8</v>
      </c>
      <c r="G9" s="6">
        <v>8.5</v>
      </c>
      <c r="H9" s="6">
        <v>8.8000000000000007</v>
      </c>
      <c r="I9" s="6">
        <v>10.7</v>
      </c>
      <c r="J9" s="6">
        <v>9.8000000000000007</v>
      </c>
      <c r="K9" s="6">
        <v>10.199999999999999</v>
      </c>
      <c r="L9" s="6">
        <v>19.100000000000001</v>
      </c>
      <c r="M9" s="6">
        <v>14.1</v>
      </c>
      <c r="N9" s="6">
        <v>23.4</v>
      </c>
      <c r="O9" s="6">
        <v>23</v>
      </c>
      <c r="P9" s="6">
        <f>P5*0.85</f>
        <v>20.501999999999999</v>
      </c>
      <c r="Q9" s="6">
        <f>Q5*0.85</f>
        <v>22.032</v>
      </c>
      <c r="R9" s="6">
        <f>R5*0.9</f>
        <v>29.97</v>
      </c>
      <c r="T9" s="6">
        <v>28.1</v>
      </c>
      <c r="U9" s="6">
        <v>21.9</v>
      </c>
      <c r="V9" s="6">
        <v>25.1</v>
      </c>
      <c r="W9" s="6">
        <f>SUM(G9:J9)</f>
        <v>37.799999999999997</v>
      </c>
      <c r="X9" s="6">
        <f>SUM(K9:N9)</f>
        <v>66.8</v>
      </c>
      <c r="Y9" s="6">
        <f>SUM(O9:R9)</f>
        <v>95.503999999999991</v>
      </c>
      <c r="Z9" s="6">
        <f>Z5*0.75</f>
        <v>105.46199999999999</v>
      </c>
      <c r="AA9" s="6">
        <f>AA5*0.65</f>
        <v>123.39053999999999</v>
      </c>
      <c r="AB9" s="6">
        <f>AB5*0.6</f>
        <v>148.06864799999997</v>
      </c>
      <c r="AC9" s="6">
        <f>AC5*0.6</f>
        <v>185.08580999999998</v>
      </c>
      <c r="AD9" s="6">
        <f t="shared" ref="AD9:AI9" si="10">AD5*0.6</f>
        <v>222.10297199999997</v>
      </c>
      <c r="AE9" s="6">
        <f t="shared" si="10"/>
        <v>255.41841779999996</v>
      </c>
      <c r="AF9" s="6">
        <f t="shared" si="10"/>
        <v>286.06862793599998</v>
      </c>
      <c r="AG9" s="6">
        <f t="shared" si="10"/>
        <v>311.81480445024005</v>
      </c>
      <c r="AH9" s="6">
        <f t="shared" si="10"/>
        <v>330.52369271725445</v>
      </c>
      <c r="AI9" s="6">
        <f t="shared" si="10"/>
        <v>347.04987735311715</v>
      </c>
    </row>
    <row r="10" spans="2:35" x14ac:dyDescent="0.3">
      <c r="B10" t="s">
        <v>20</v>
      </c>
      <c r="F10" s="6">
        <f t="shared" ref="F10:N10" si="11">SUM(F7:F9)</f>
        <v>207.7</v>
      </c>
      <c r="G10" s="6">
        <f t="shared" si="11"/>
        <v>171.1</v>
      </c>
      <c r="H10" s="6">
        <f t="shared" si="11"/>
        <v>224</v>
      </c>
      <c r="I10" s="6">
        <f t="shared" si="11"/>
        <v>259</v>
      </c>
      <c r="J10" s="6">
        <f t="shared" si="11"/>
        <v>333</v>
      </c>
      <c r="K10" s="6">
        <f t="shared" si="11"/>
        <v>295.79999999999995</v>
      </c>
      <c r="L10" s="6">
        <f t="shared" si="11"/>
        <v>363.1</v>
      </c>
      <c r="M10" s="6">
        <f t="shared" si="11"/>
        <v>415.40000000000003</v>
      </c>
      <c r="N10" s="6">
        <f t="shared" si="11"/>
        <v>468.09999999999997</v>
      </c>
      <c r="O10" s="6">
        <f t="shared" ref="O10:R10" si="12">SUM(O7:O9)</f>
        <v>406.7</v>
      </c>
      <c r="P10" s="6">
        <f t="shared" si="12"/>
        <v>425.226</v>
      </c>
      <c r="Q10" s="6">
        <f t="shared" si="12"/>
        <v>514.39200000000005</v>
      </c>
      <c r="R10" s="6">
        <f t="shared" si="12"/>
        <v>621.14959999999996</v>
      </c>
      <c r="T10" s="6">
        <f>SUM(T7:T9)</f>
        <v>111.1</v>
      </c>
      <c r="U10" s="6">
        <f>SUM(U7:U9)</f>
        <v>241.5</v>
      </c>
      <c r="V10" s="6">
        <f>SUM(V7:V9)</f>
        <v>493.7</v>
      </c>
      <c r="W10" s="6">
        <f>SUM(W7:W9)</f>
        <v>987.1</v>
      </c>
      <c r="X10" s="6">
        <f>SUM(X7:X9)</f>
        <v>1542.3999999999999</v>
      </c>
      <c r="Y10" s="6">
        <f t="shared" ref="Y10:AI10" si="13">SUM(Y7:Y9)</f>
        <v>1967.4676000000002</v>
      </c>
      <c r="Z10" s="6">
        <f t="shared" si="13"/>
        <v>2427.4861999999998</v>
      </c>
      <c r="AA10" s="6">
        <f t="shared" si="13"/>
        <v>2889.9247349999996</v>
      </c>
      <c r="AB10" s="6">
        <f t="shared" si="13"/>
        <v>3343.9786522499999</v>
      </c>
      <c r="AC10" s="6">
        <f t="shared" si="13"/>
        <v>3716.7099762749999</v>
      </c>
      <c r="AD10" s="6">
        <f t="shared" si="13"/>
        <v>4048.8331376250003</v>
      </c>
      <c r="AE10" s="6">
        <f t="shared" si="13"/>
        <v>4316.7828197817007</v>
      </c>
      <c r="AF10" s="6">
        <f t="shared" si="13"/>
        <v>4557.4180863431857</v>
      </c>
      <c r="AG10" s="6">
        <f t="shared" si="13"/>
        <v>4796.7317357777856</v>
      </c>
      <c r="AH10" s="6">
        <f t="shared" si="13"/>
        <v>5039.6864706111774</v>
      </c>
      <c r="AI10" s="6">
        <f t="shared" si="13"/>
        <v>5291.6707941417362</v>
      </c>
    </row>
    <row r="11" spans="2:35" s="1" customFormat="1" x14ac:dyDescent="0.3">
      <c r="B11" s="1" t="s">
        <v>21</v>
      </c>
      <c r="F11" s="9">
        <f t="shared" ref="F11:N11" si="14">F6-F10</f>
        <v>36.700000000000017</v>
      </c>
      <c r="G11" s="9">
        <f t="shared" si="14"/>
        <v>35.199999999999989</v>
      </c>
      <c r="H11" s="9">
        <f t="shared" si="14"/>
        <v>42.900000000000034</v>
      </c>
      <c r="I11" s="9">
        <f t="shared" si="14"/>
        <v>52.899999999999977</v>
      </c>
      <c r="J11" s="9">
        <f t="shared" si="14"/>
        <v>58.800000000000011</v>
      </c>
      <c r="K11" s="9">
        <f t="shared" si="14"/>
        <v>64.200000000000045</v>
      </c>
      <c r="L11" s="9">
        <f t="shared" si="14"/>
        <v>30.300000000000011</v>
      </c>
      <c r="M11" s="9">
        <f t="shared" si="14"/>
        <v>54.899999999999977</v>
      </c>
      <c r="N11" s="9">
        <f t="shared" si="14"/>
        <v>108.60000000000008</v>
      </c>
      <c r="O11" s="9">
        <f t="shared" ref="O11:R11" si="15">O6-O10</f>
        <v>80.000000000000057</v>
      </c>
      <c r="P11" s="9">
        <f t="shared" si="15"/>
        <v>105.57899999999995</v>
      </c>
      <c r="Q11" s="9">
        <f t="shared" si="15"/>
        <v>128.23799999999994</v>
      </c>
      <c r="R11" s="9">
        <f t="shared" si="15"/>
        <v>135.95040000000006</v>
      </c>
      <c r="T11" s="9">
        <f>T6-T10</f>
        <v>-19</v>
      </c>
      <c r="U11" s="9">
        <f>U6-U10</f>
        <v>10.400000000000006</v>
      </c>
      <c r="V11" s="9">
        <f>V6-V10</f>
        <v>99.60000000000008</v>
      </c>
      <c r="W11" s="9">
        <f>W6-W10</f>
        <v>189.79999999999984</v>
      </c>
      <c r="X11" s="9">
        <f>X6-X10</f>
        <v>258</v>
      </c>
      <c r="Y11" s="9">
        <f t="shared" ref="Y11:AI11" si="16">Y6-Y10</f>
        <v>449.76739999999995</v>
      </c>
      <c r="Z11" s="9">
        <f t="shared" si="16"/>
        <v>626.04154999999992</v>
      </c>
      <c r="AA11" s="9">
        <f t="shared" si="16"/>
        <v>817.54816500000015</v>
      </c>
      <c r="AB11" s="9">
        <f t="shared" si="16"/>
        <v>970.2371227499998</v>
      </c>
      <c r="AC11" s="9">
        <f t="shared" si="16"/>
        <v>1090.7494022249998</v>
      </c>
      <c r="AD11" s="9">
        <f t="shared" si="16"/>
        <v>1199.5879470750001</v>
      </c>
      <c r="AE11" s="9">
        <f t="shared" si="16"/>
        <v>1287.5980933683004</v>
      </c>
      <c r="AF11" s="9">
        <f t="shared" si="16"/>
        <v>1367.6219745303151</v>
      </c>
      <c r="AG11" s="9">
        <f t="shared" si="16"/>
        <v>1443.6315700017913</v>
      </c>
      <c r="AH11" s="9">
        <f t="shared" si="16"/>
        <v>1517.8919138648816</v>
      </c>
      <c r="AI11" s="9">
        <f t="shared" si="16"/>
        <v>1593.7865095581265</v>
      </c>
    </row>
    <row r="12" spans="2:35" x14ac:dyDescent="0.3">
      <c r="B12" t="s">
        <v>22</v>
      </c>
      <c r="F12" s="6">
        <v>43.5</v>
      </c>
      <c r="G12" s="6">
        <v>50.7</v>
      </c>
      <c r="H12" s="6">
        <v>49.7</v>
      </c>
      <c r="I12" s="6">
        <v>48.8</v>
      </c>
      <c r="J12" s="6">
        <v>45.8</v>
      </c>
      <c r="K12" s="6">
        <v>42.1</v>
      </c>
      <c r="L12" s="6">
        <v>46.5</v>
      </c>
      <c r="M12" s="6">
        <v>44.7</v>
      </c>
      <c r="N12" s="6">
        <v>40.1</v>
      </c>
      <c r="O12" s="6">
        <v>43.6</v>
      </c>
      <c r="P12" s="6">
        <f t="shared" ref="P12" si="17">L12*1.02</f>
        <v>47.43</v>
      </c>
      <c r="Q12" s="6">
        <f t="shared" ref="Q12" si="18">M12*1.02</f>
        <v>45.594000000000001</v>
      </c>
      <c r="R12" s="6">
        <f t="shared" ref="R12" si="19">N12*1.02</f>
        <v>40.902000000000001</v>
      </c>
      <c r="T12" s="6">
        <v>55.9</v>
      </c>
      <c r="U12" s="6">
        <v>73.400000000000006</v>
      </c>
      <c r="V12" s="6">
        <v>124.1</v>
      </c>
      <c r="W12" s="6">
        <f>SUM(G12:J12)</f>
        <v>195</v>
      </c>
      <c r="X12" s="6">
        <f>SUM(K12:N12)</f>
        <v>173.4</v>
      </c>
      <c r="Y12" s="6">
        <f>SUM(O12:R12)</f>
        <v>177.52600000000001</v>
      </c>
      <c r="Z12" s="6">
        <f t="shared" ref="Z12:AI12" si="20">Y12*1.02</f>
        <v>181.07652000000002</v>
      </c>
      <c r="AA12" s="6">
        <f t="shared" si="20"/>
        <v>184.69805040000003</v>
      </c>
      <c r="AB12" s="6">
        <f t="shared" si="20"/>
        <v>188.39201140800003</v>
      </c>
      <c r="AC12" s="6">
        <f t="shared" si="20"/>
        <v>192.15985163616003</v>
      </c>
      <c r="AD12" s="6">
        <f t="shared" si="20"/>
        <v>196.00304866888322</v>
      </c>
      <c r="AE12" s="6">
        <f t="shared" si="20"/>
        <v>199.9231096422609</v>
      </c>
      <c r="AF12" s="6">
        <f t="shared" si="20"/>
        <v>203.92157183510611</v>
      </c>
      <c r="AG12" s="6">
        <f t="shared" si="20"/>
        <v>208.00000327180823</v>
      </c>
      <c r="AH12" s="6">
        <f t="shared" si="20"/>
        <v>212.1600033372444</v>
      </c>
      <c r="AI12" s="6">
        <f t="shared" si="20"/>
        <v>216.40320340398929</v>
      </c>
    </row>
    <row r="13" spans="2:35" x14ac:dyDescent="0.3">
      <c r="B13" t="s">
        <v>23</v>
      </c>
      <c r="F13" s="6">
        <v>47.6</v>
      </c>
      <c r="G13" s="6">
        <v>54</v>
      </c>
      <c r="H13" s="6">
        <v>50.9</v>
      </c>
      <c r="I13" s="6">
        <v>46.1</v>
      </c>
      <c r="J13" s="6">
        <v>66.900000000000006</v>
      </c>
      <c r="K13" s="6">
        <v>47</v>
      </c>
      <c r="L13" s="6">
        <v>48.7</v>
      </c>
      <c r="M13" s="6">
        <v>47.9</v>
      </c>
      <c r="N13" s="6">
        <v>45.4</v>
      </c>
      <c r="O13" s="6">
        <v>61.1</v>
      </c>
      <c r="P13" s="6">
        <f t="shared" ref="P13:R13" si="21">L13*1.03</f>
        <v>50.161000000000001</v>
      </c>
      <c r="Q13" s="6">
        <f t="shared" si="21"/>
        <v>49.337000000000003</v>
      </c>
      <c r="R13" s="6">
        <f t="shared" si="21"/>
        <v>46.762</v>
      </c>
      <c r="T13" s="6">
        <v>35.6</v>
      </c>
      <c r="U13" s="6">
        <v>59.4</v>
      </c>
      <c r="V13" s="6">
        <v>115.9</v>
      </c>
      <c r="W13" s="6">
        <f>SUM(G13:J13)</f>
        <v>217.9</v>
      </c>
      <c r="X13" s="6">
        <f>SUM(K13:N13)</f>
        <v>189</v>
      </c>
      <c r="Y13" s="6">
        <f>SUM(O13:R13)</f>
        <v>207.36</v>
      </c>
      <c r="Z13" s="6">
        <f t="shared" ref="Z13:AI13" si="22">Y13*1.02</f>
        <v>211.50720000000001</v>
      </c>
      <c r="AA13" s="6">
        <f t="shared" si="22"/>
        <v>215.73734400000001</v>
      </c>
      <c r="AB13" s="6">
        <f t="shared" si="22"/>
        <v>220.05209088000001</v>
      </c>
      <c r="AC13" s="6">
        <f t="shared" si="22"/>
        <v>224.45313269760001</v>
      </c>
      <c r="AD13" s="6">
        <f t="shared" si="22"/>
        <v>228.94219535155202</v>
      </c>
      <c r="AE13" s="6">
        <f t="shared" si="22"/>
        <v>233.52103925858307</v>
      </c>
      <c r="AF13" s="6">
        <f t="shared" si="22"/>
        <v>238.19146004375474</v>
      </c>
      <c r="AG13" s="6">
        <f t="shared" si="22"/>
        <v>242.95528924462985</v>
      </c>
      <c r="AH13" s="6">
        <f t="shared" si="22"/>
        <v>247.81439502952244</v>
      </c>
      <c r="AI13" s="6">
        <f t="shared" si="22"/>
        <v>252.77068293011288</v>
      </c>
    </row>
    <row r="14" spans="2:35" s="1" customFormat="1" x14ac:dyDescent="0.3">
      <c r="B14" s="1" t="s">
        <v>24</v>
      </c>
      <c r="F14" s="9">
        <f t="shared" ref="F14:N14" si="23">F11-F12-F13</f>
        <v>-54.399999999999984</v>
      </c>
      <c r="G14" s="9">
        <f t="shared" si="23"/>
        <v>-69.500000000000014</v>
      </c>
      <c r="H14" s="9">
        <f t="shared" si="23"/>
        <v>-57.699999999999967</v>
      </c>
      <c r="I14" s="9">
        <f t="shared" si="23"/>
        <v>-42.000000000000021</v>
      </c>
      <c r="J14" s="9">
        <f t="shared" si="23"/>
        <v>-53.899999999999991</v>
      </c>
      <c r="K14" s="9">
        <f t="shared" si="23"/>
        <v>-24.899999999999956</v>
      </c>
      <c r="L14" s="9">
        <f t="shared" si="23"/>
        <v>-64.899999999999991</v>
      </c>
      <c r="M14" s="9">
        <f t="shared" si="23"/>
        <v>-37.700000000000024</v>
      </c>
      <c r="N14" s="9">
        <f t="shared" si="23"/>
        <v>23.100000000000087</v>
      </c>
      <c r="O14" s="9">
        <f t="shared" ref="O14:R14" si="24">O11-O12-O13</f>
        <v>-24.699999999999946</v>
      </c>
      <c r="P14" s="9">
        <f t="shared" si="24"/>
        <v>7.9879999999999498</v>
      </c>
      <c r="Q14" s="9">
        <f t="shared" si="24"/>
        <v>33.306999999999945</v>
      </c>
      <c r="R14" s="9">
        <f t="shared" si="24"/>
        <v>48.286400000000057</v>
      </c>
      <c r="T14" s="9">
        <f>T11-T12-T13</f>
        <v>-110.5</v>
      </c>
      <c r="U14" s="9">
        <f>U11-U12-U13</f>
        <v>-122.4</v>
      </c>
      <c r="V14" s="9">
        <f>V11-V12-V13</f>
        <v>-140.39999999999992</v>
      </c>
      <c r="W14" s="9">
        <f>W11-W12-W13</f>
        <v>-223.10000000000016</v>
      </c>
      <c r="X14" s="9">
        <f>X11-X12-X13</f>
        <v>-104.4</v>
      </c>
      <c r="Y14" s="9">
        <f t="shared" ref="Y14:AI14" si="25">Y11-Y12-Y13</f>
        <v>64.881399999999928</v>
      </c>
      <c r="Z14" s="9">
        <f t="shared" si="25"/>
        <v>233.45782999999989</v>
      </c>
      <c r="AA14" s="9">
        <f t="shared" si="25"/>
        <v>417.11277060000009</v>
      </c>
      <c r="AB14" s="9">
        <f t="shared" si="25"/>
        <v>561.79302046199973</v>
      </c>
      <c r="AC14" s="9">
        <f t="shared" si="25"/>
        <v>674.13641789123972</v>
      </c>
      <c r="AD14" s="9">
        <f t="shared" si="25"/>
        <v>774.64270305456489</v>
      </c>
      <c r="AE14" s="9">
        <f t="shared" si="25"/>
        <v>854.15394446745643</v>
      </c>
      <c r="AF14" s="9">
        <f t="shared" si="25"/>
        <v>925.50894265145428</v>
      </c>
      <c r="AG14" s="9">
        <f t="shared" si="25"/>
        <v>992.67627748535313</v>
      </c>
      <c r="AH14" s="9">
        <f t="shared" si="25"/>
        <v>1057.9175154981147</v>
      </c>
      <c r="AI14" s="9">
        <f t="shared" si="25"/>
        <v>1124.6126232240244</v>
      </c>
    </row>
    <row r="15" spans="2:35" x14ac:dyDescent="0.3">
      <c r="B15" t="s">
        <v>25</v>
      </c>
      <c r="F15" s="6">
        <v>-1.1000000000000001</v>
      </c>
      <c r="G15" s="6">
        <v>-1.8</v>
      </c>
      <c r="H15" s="6">
        <v>-2.2999999999999998</v>
      </c>
      <c r="I15" s="6">
        <v>-2.9</v>
      </c>
      <c r="J15" s="6">
        <v>-3.7</v>
      </c>
      <c r="K15" s="6">
        <v>-6.2</v>
      </c>
      <c r="L15" s="6">
        <v>-9.8000000000000007</v>
      </c>
      <c r="M15" s="6">
        <v>-11.6</v>
      </c>
      <c r="N15" s="6">
        <v>-9.4</v>
      </c>
      <c r="O15" s="6">
        <v>-7.8</v>
      </c>
      <c r="P15" s="6">
        <f t="shared" ref="P15:R15" si="26">L15*1.1</f>
        <v>-10.780000000000001</v>
      </c>
      <c r="Q15" s="6">
        <f t="shared" si="26"/>
        <v>-12.76</v>
      </c>
      <c r="R15" s="6">
        <f t="shared" si="26"/>
        <v>-10.340000000000002</v>
      </c>
      <c r="T15" s="6">
        <v>-0.8</v>
      </c>
      <c r="U15" s="6">
        <v>-0.1</v>
      </c>
      <c r="V15" s="6">
        <v>-1.3</v>
      </c>
      <c r="W15" s="6">
        <f>SUM(G15:J15)</f>
        <v>-10.7</v>
      </c>
      <c r="X15" s="6">
        <f>SUM(K15:N15)</f>
        <v>-37</v>
      </c>
      <c r="Y15" s="6">
        <f>SUM(O15:R15)</f>
        <v>-41.680000000000007</v>
      </c>
      <c r="Z15" s="6">
        <f t="shared" ref="Z15:AI15" si="27">Y15*1.05</f>
        <v>-43.76400000000001</v>
      </c>
      <c r="AA15" s="6">
        <f t="shared" si="27"/>
        <v>-45.952200000000012</v>
      </c>
      <c r="AB15" s="6">
        <f t="shared" si="27"/>
        <v>-48.249810000000018</v>
      </c>
      <c r="AC15" s="6">
        <f t="shared" si="27"/>
        <v>-50.662300500000022</v>
      </c>
      <c r="AD15" s="6">
        <f t="shared" si="27"/>
        <v>-53.195415525000023</v>
      </c>
      <c r="AE15" s="6">
        <f t="shared" si="27"/>
        <v>-55.855186301250029</v>
      </c>
      <c r="AF15" s="6">
        <f t="shared" si="27"/>
        <v>-58.647945616312533</v>
      </c>
      <c r="AG15" s="6">
        <f t="shared" si="27"/>
        <v>-61.580342897128162</v>
      </c>
      <c r="AH15" s="6">
        <f t="shared" si="27"/>
        <v>-64.65936004198457</v>
      </c>
      <c r="AI15" s="6">
        <f t="shared" si="27"/>
        <v>-67.892328044083797</v>
      </c>
    </row>
    <row r="16" spans="2:35" s="1" customFormat="1" x14ac:dyDescent="0.3">
      <c r="B16" s="1" t="s">
        <v>26</v>
      </c>
      <c r="F16" s="9">
        <f t="shared" ref="F16:N16" si="28">F14-F15</f>
        <v>-53.299999999999983</v>
      </c>
      <c r="G16" s="9">
        <f t="shared" si="28"/>
        <v>-67.700000000000017</v>
      </c>
      <c r="H16" s="9">
        <f t="shared" si="28"/>
        <v>-55.39999999999997</v>
      </c>
      <c r="I16" s="9">
        <f t="shared" si="28"/>
        <v>-39.100000000000023</v>
      </c>
      <c r="J16" s="9">
        <f t="shared" si="28"/>
        <v>-50.199999999999989</v>
      </c>
      <c r="K16" s="9">
        <f t="shared" si="28"/>
        <v>-18.699999999999957</v>
      </c>
      <c r="L16" s="9">
        <f t="shared" si="28"/>
        <v>-55.099999999999994</v>
      </c>
      <c r="M16" s="9">
        <f t="shared" si="28"/>
        <v>-26.100000000000023</v>
      </c>
      <c r="N16" s="9">
        <f t="shared" si="28"/>
        <v>32.500000000000085</v>
      </c>
      <c r="O16" s="9">
        <f t="shared" ref="O16:R16" si="29">O14-O15</f>
        <v>-16.899999999999945</v>
      </c>
      <c r="P16" s="9">
        <f t="shared" si="29"/>
        <v>18.767999999999951</v>
      </c>
      <c r="Q16" s="9">
        <f t="shared" si="29"/>
        <v>46.066999999999943</v>
      </c>
      <c r="R16" s="9">
        <f t="shared" si="29"/>
        <v>58.626400000000061</v>
      </c>
      <c r="T16" s="9">
        <f>T14-T15</f>
        <v>-109.7</v>
      </c>
      <c r="U16" s="9">
        <f>U14-U15</f>
        <v>-122.30000000000001</v>
      </c>
      <c r="V16" s="9">
        <f>V14-V15</f>
        <v>-139.09999999999991</v>
      </c>
      <c r="W16" s="9">
        <f>W14-W15</f>
        <v>-212.40000000000018</v>
      </c>
      <c r="X16" s="9">
        <f>X14-X15</f>
        <v>-67.400000000000006</v>
      </c>
      <c r="Y16" s="9">
        <f t="shared" ref="Y16:AI16" si="30">Y14-Y15</f>
        <v>106.56139999999994</v>
      </c>
      <c r="Z16" s="9">
        <f t="shared" si="30"/>
        <v>277.2218299999999</v>
      </c>
      <c r="AA16" s="9">
        <f t="shared" si="30"/>
        <v>463.06497060000009</v>
      </c>
      <c r="AB16" s="9">
        <f t="shared" si="30"/>
        <v>610.04283046199976</v>
      </c>
      <c r="AC16" s="9">
        <f t="shared" si="30"/>
        <v>724.79871839123973</v>
      </c>
      <c r="AD16" s="9">
        <f t="shared" si="30"/>
        <v>827.83811857956493</v>
      </c>
      <c r="AE16" s="9">
        <f t="shared" si="30"/>
        <v>910.00913076870643</v>
      </c>
      <c r="AF16" s="9">
        <f t="shared" si="30"/>
        <v>984.15688826776682</v>
      </c>
      <c r="AG16" s="9">
        <f t="shared" si="30"/>
        <v>1054.2566203824813</v>
      </c>
      <c r="AH16" s="9">
        <f t="shared" si="30"/>
        <v>1122.5768755400993</v>
      </c>
      <c r="AI16" s="9">
        <f t="shared" si="30"/>
        <v>1192.5049512681082</v>
      </c>
    </row>
    <row r="17" spans="2:147" x14ac:dyDescent="0.3">
      <c r="B17" t="s">
        <v>27</v>
      </c>
      <c r="F17" s="6">
        <v>0</v>
      </c>
      <c r="G17" s="6">
        <v>0.3</v>
      </c>
      <c r="H17" s="6">
        <v>0</v>
      </c>
      <c r="I17" s="6">
        <v>0</v>
      </c>
      <c r="J17" s="6">
        <v>-4.9000000000000004</v>
      </c>
      <c r="K17" s="6">
        <v>0.2</v>
      </c>
      <c r="L17" s="6">
        <v>-0.3</v>
      </c>
      <c r="M17" s="6">
        <v>0.2</v>
      </c>
      <c r="N17" s="6">
        <f>4.2+0.2</f>
        <v>4.4000000000000004</v>
      </c>
      <c r="O17" s="6">
        <v>-0.1</v>
      </c>
      <c r="P17" s="6">
        <f t="shared" ref="P17:R17" si="31">P16*0.15</f>
        <v>2.8151999999999924</v>
      </c>
      <c r="Q17" s="6">
        <f t="shared" si="31"/>
        <v>6.9100499999999911</v>
      </c>
      <c r="R17" s="6">
        <f t="shared" si="31"/>
        <v>8.7939600000000091</v>
      </c>
      <c r="T17" s="6">
        <v>0</v>
      </c>
      <c r="U17" s="6">
        <v>0</v>
      </c>
      <c r="V17" s="6">
        <v>0</v>
      </c>
      <c r="W17" s="6">
        <f>SUM(G17:J17)</f>
        <v>-4.6000000000000005</v>
      </c>
      <c r="X17" s="6">
        <f>SUM(K17:N17)</f>
        <v>4.5</v>
      </c>
      <c r="Y17" s="6">
        <f>SUM(O17:R17)</f>
        <v>18.419209999999993</v>
      </c>
      <c r="Z17" s="6">
        <f t="shared" ref="Z17:AI17" si="32">Z16*0.1</f>
        <v>27.72218299999999</v>
      </c>
      <c r="AA17" s="6">
        <f t="shared" si="32"/>
        <v>46.306497060000012</v>
      </c>
      <c r="AB17" s="6">
        <f t="shared" si="32"/>
        <v>61.00428304619998</v>
      </c>
      <c r="AC17" s="6">
        <f t="shared" si="32"/>
        <v>72.479871839123973</v>
      </c>
      <c r="AD17" s="6">
        <f t="shared" si="32"/>
        <v>82.783811857956493</v>
      </c>
      <c r="AE17" s="6">
        <f t="shared" si="32"/>
        <v>91.000913076870646</v>
      </c>
      <c r="AF17" s="6">
        <f t="shared" si="32"/>
        <v>98.415688826776687</v>
      </c>
      <c r="AG17" s="6">
        <f t="shared" si="32"/>
        <v>105.42566203824813</v>
      </c>
      <c r="AH17" s="6">
        <f t="shared" si="32"/>
        <v>112.25768755400993</v>
      </c>
      <c r="AI17" s="6">
        <f t="shared" si="32"/>
        <v>119.25049512681083</v>
      </c>
    </row>
    <row r="18" spans="2:147" x14ac:dyDescent="0.3">
      <c r="B18" t="s">
        <v>28</v>
      </c>
      <c r="F18" s="6">
        <v>-47.7</v>
      </c>
      <c r="G18" s="6">
        <v>-60.8</v>
      </c>
      <c r="H18" s="6">
        <v>-49.3</v>
      </c>
      <c r="I18" s="6">
        <v>-34.700000000000003</v>
      </c>
      <c r="J18" s="6">
        <v>-39.200000000000003</v>
      </c>
      <c r="K18" s="6">
        <v>-16.2</v>
      </c>
      <c r="L18" s="6">
        <v>-46</v>
      </c>
      <c r="M18" s="6">
        <v>-22</v>
      </c>
      <c r="N18" s="6">
        <v>23.1</v>
      </c>
      <c r="O18" s="6">
        <v>-16.2</v>
      </c>
      <c r="P18" s="6">
        <f t="shared" ref="P18:R18" si="33">P16*0.8</f>
        <v>15.014399999999961</v>
      </c>
      <c r="Q18" s="6">
        <f t="shared" si="33"/>
        <v>36.853599999999958</v>
      </c>
      <c r="R18" s="6">
        <f t="shared" si="33"/>
        <v>46.901120000000049</v>
      </c>
      <c r="T18" s="6">
        <v>0</v>
      </c>
      <c r="U18" s="6">
        <v>0</v>
      </c>
      <c r="V18" s="6">
        <v>-60.1</v>
      </c>
      <c r="W18" s="6">
        <f>SUM(G18:J18)</f>
        <v>-184</v>
      </c>
      <c r="X18" s="6">
        <f>SUM(K18:N18)</f>
        <v>-61.1</v>
      </c>
      <c r="Y18" s="6">
        <f>SUM(O18:R18)</f>
        <v>82.56911999999997</v>
      </c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2:147" s="1" customFormat="1" x14ac:dyDescent="0.3">
      <c r="B19" s="1" t="s">
        <v>29</v>
      </c>
      <c r="F19" s="9">
        <f t="shared" ref="F19:N19" si="34">F16-F17-F18</f>
        <v>-5.5999999999999801</v>
      </c>
      <c r="G19" s="9">
        <f t="shared" si="34"/>
        <v>-7.2000000000000171</v>
      </c>
      <c r="H19" s="9">
        <f t="shared" si="34"/>
        <v>-6.099999999999973</v>
      </c>
      <c r="I19" s="9">
        <f t="shared" si="34"/>
        <v>-4.4000000000000199</v>
      </c>
      <c r="J19" s="9">
        <f t="shared" si="34"/>
        <v>-6.0999999999999872</v>
      </c>
      <c r="K19" s="9">
        <f t="shared" si="34"/>
        <v>-2.6999999999999567</v>
      </c>
      <c r="L19" s="9">
        <f t="shared" si="34"/>
        <v>-8.7999999999999972</v>
      </c>
      <c r="M19" s="9">
        <f t="shared" si="34"/>
        <v>-4.300000000000022</v>
      </c>
      <c r="N19" s="9">
        <f t="shared" si="34"/>
        <v>5.0000000000000853</v>
      </c>
      <c r="O19" s="9">
        <f t="shared" ref="O19:R19" si="35">O16-O17-O18</f>
        <v>-0.59999999999994458</v>
      </c>
      <c r="P19" s="9">
        <f t="shared" si="35"/>
        <v>0.9383999999999979</v>
      </c>
      <c r="Q19" s="9">
        <f t="shared" si="35"/>
        <v>2.3033499999999947</v>
      </c>
      <c r="R19" s="9">
        <f t="shared" si="35"/>
        <v>2.9313199999999995</v>
      </c>
      <c r="T19" s="9">
        <f t="shared" ref="T19:Y19" si="36">T16-T17-T18</f>
        <v>-109.7</v>
      </c>
      <c r="U19" s="9">
        <f t="shared" si="36"/>
        <v>-122.30000000000001</v>
      </c>
      <c r="V19" s="9">
        <f t="shared" si="36"/>
        <v>-78.999999999999915</v>
      </c>
      <c r="W19" s="9">
        <f t="shared" si="36"/>
        <v>-23.800000000000182</v>
      </c>
      <c r="X19" s="9">
        <f t="shared" si="36"/>
        <v>-10.800000000000004</v>
      </c>
      <c r="Y19" s="9">
        <f t="shared" si="36"/>
        <v>5.5730699999999729</v>
      </c>
      <c r="Z19" s="9">
        <f t="shared" ref="Z19:AI19" si="37">Z16-Z17-Z18</f>
        <v>249.4996469999999</v>
      </c>
      <c r="AA19" s="9">
        <f t="shared" si="37"/>
        <v>416.75847354000007</v>
      </c>
      <c r="AB19" s="9">
        <f t="shared" si="37"/>
        <v>549.03854741579983</v>
      </c>
      <c r="AC19" s="9">
        <f t="shared" si="37"/>
        <v>652.3188465521157</v>
      </c>
      <c r="AD19" s="9">
        <f t="shared" si="37"/>
        <v>745.05430672160844</v>
      </c>
      <c r="AE19" s="9">
        <f t="shared" si="37"/>
        <v>819.00821769183574</v>
      </c>
      <c r="AF19" s="9">
        <f t="shared" si="37"/>
        <v>885.74119944099016</v>
      </c>
      <c r="AG19" s="9">
        <f t="shared" si="37"/>
        <v>948.83095834423318</v>
      </c>
      <c r="AH19" s="9">
        <f t="shared" si="37"/>
        <v>1010.3191879860893</v>
      </c>
      <c r="AI19" s="9">
        <f t="shared" si="37"/>
        <v>1073.2544561412974</v>
      </c>
      <c r="AJ19" s="1">
        <f>AI19*(1+$AM$24)</f>
        <v>1062.5219115798843</v>
      </c>
      <c r="AK19" s="1">
        <f t="shared" ref="AK19:CV19" si="38">AJ19*(1+$AM$24)</f>
        <v>1051.8966924640854</v>
      </c>
      <c r="AL19" s="1">
        <f t="shared" si="38"/>
        <v>1041.3777255394446</v>
      </c>
      <c r="AM19" s="1">
        <f t="shared" si="38"/>
        <v>1030.96394828405</v>
      </c>
      <c r="AN19" s="1">
        <f t="shared" si="38"/>
        <v>1020.6543088012095</v>
      </c>
      <c r="AO19" s="1">
        <f t="shared" si="38"/>
        <v>1010.4477657131973</v>
      </c>
      <c r="AP19" s="1">
        <f t="shared" si="38"/>
        <v>1000.3432880560654</v>
      </c>
      <c r="AQ19" s="1">
        <f t="shared" si="38"/>
        <v>990.33985517550468</v>
      </c>
      <c r="AR19" s="1">
        <f t="shared" si="38"/>
        <v>980.43645662374968</v>
      </c>
      <c r="AS19" s="1">
        <f t="shared" si="38"/>
        <v>970.63209205751218</v>
      </c>
      <c r="AT19" s="1">
        <f t="shared" si="38"/>
        <v>960.9257711369371</v>
      </c>
      <c r="AU19" s="1">
        <f t="shared" si="38"/>
        <v>951.31651342556768</v>
      </c>
      <c r="AV19" s="1">
        <f t="shared" si="38"/>
        <v>941.80334829131198</v>
      </c>
      <c r="AW19" s="1">
        <f t="shared" si="38"/>
        <v>932.3853148083989</v>
      </c>
      <c r="AX19" s="1">
        <f t="shared" si="38"/>
        <v>923.06146166031488</v>
      </c>
      <c r="AY19" s="1">
        <f t="shared" si="38"/>
        <v>913.83084704371174</v>
      </c>
      <c r="AZ19" s="1">
        <f t="shared" si="38"/>
        <v>904.69253857327465</v>
      </c>
      <c r="BA19" s="1">
        <f t="shared" si="38"/>
        <v>895.64561318754193</v>
      </c>
      <c r="BB19" s="1">
        <f t="shared" si="38"/>
        <v>886.68915705566656</v>
      </c>
      <c r="BC19" s="1">
        <f t="shared" si="38"/>
        <v>877.82226548510994</v>
      </c>
      <c r="BD19" s="1">
        <f t="shared" si="38"/>
        <v>869.04404283025883</v>
      </c>
      <c r="BE19" s="1">
        <f t="shared" si="38"/>
        <v>860.35360240195621</v>
      </c>
      <c r="BF19" s="1">
        <f t="shared" si="38"/>
        <v>851.75006637793661</v>
      </c>
      <c r="BG19" s="1">
        <f t="shared" si="38"/>
        <v>843.2325657141572</v>
      </c>
      <c r="BH19" s="1">
        <f t="shared" si="38"/>
        <v>834.80024005701557</v>
      </c>
      <c r="BI19" s="1">
        <f t="shared" si="38"/>
        <v>826.45223765644539</v>
      </c>
      <c r="BJ19" s="1">
        <f t="shared" si="38"/>
        <v>818.18771527988088</v>
      </c>
      <c r="BK19" s="1">
        <f t="shared" si="38"/>
        <v>810.00583812708203</v>
      </c>
      <c r="BL19" s="1">
        <f t="shared" si="38"/>
        <v>801.90577974581117</v>
      </c>
      <c r="BM19" s="1">
        <f t="shared" si="38"/>
        <v>793.88672194835306</v>
      </c>
      <c r="BN19" s="1">
        <f t="shared" si="38"/>
        <v>785.94785472886952</v>
      </c>
      <c r="BO19" s="1">
        <f t="shared" si="38"/>
        <v>778.08837618158077</v>
      </c>
      <c r="BP19" s="1">
        <f t="shared" si="38"/>
        <v>770.30749241976491</v>
      </c>
      <c r="BQ19" s="1">
        <f t="shared" si="38"/>
        <v>762.6044174955673</v>
      </c>
      <c r="BR19" s="1">
        <f t="shared" si="38"/>
        <v>754.97837332061158</v>
      </c>
      <c r="BS19" s="1">
        <f t="shared" si="38"/>
        <v>747.42858958740544</v>
      </c>
      <c r="BT19" s="1">
        <f t="shared" si="38"/>
        <v>739.95430369153144</v>
      </c>
      <c r="BU19" s="1">
        <f t="shared" si="38"/>
        <v>732.55476065461608</v>
      </c>
      <c r="BV19" s="1">
        <f t="shared" si="38"/>
        <v>725.22921304806994</v>
      </c>
      <c r="BW19" s="1">
        <f t="shared" si="38"/>
        <v>717.97692091758927</v>
      </c>
      <c r="BX19" s="1">
        <f t="shared" si="38"/>
        <v>710.79715170841337</v>
      </c>
      <c r="BY19" s="1">
        <f t="shared" si="38"/>
        <v>703.68918019132923</v>
      </c>
      <c r="BZ19" s="1">
        <f t="shared" si="38"/>
        <v>696.65228838941596</v>
      </c>
      <c r="CA19" s="1">
        <f t="shared" si="38"/>
        <v>689.68576550552177</v>
      </c>
      <c r="CB19" s="1">
        <f t="shared" si="38"/>
        <v>682.78890785046656</v>
      </c>
      <c r="CC19" s="1">
        <f t="shared" si="38"/>
        <v>675.9610187719619</v>
      </c>
      <c r="CD19" s="1">
        <f t="shared" si="38"/>
        <v>669.20140858424224</v>
      </c>
      <c r="CE19" s="1">
        <f t="shared" si="38"/>
        <v>662.50939449839984</v>
      </c>
      <c r="CF19" s="1">
        <f t="shared" si="38"/>
        <v>655.88430055341587</v>
      </c>
      <c r="CG19" s="1">
        <f t="shared" si="38"/>
        <v>649.32545754788168</v>
      </c>
      <c r="CH19" s="1">
        <f t="shared" si="38"/>
        <v>642.83220297240291</v>
      </c>
      <c r="CI19" s="1">
        <f t="shared" si="38"/>
        <v>636.40388094267882</v>
      </c>
      <c r="CJ19" s="1">
        <f t="shared" si="38"/>
        <v>630.03984213325202</v>
      </c>
      <c r="CK19" s="1">
        <f t="shared" si="38"/>
        <v>623.73944371191953</v>
      </c>
      <c r="CL19" s="1">
        <f t="shared" si="38"/>
        <v>617.50204927480036</v>
      </c>
      <c r="CM19" s="1">
        <f t="shared" si="38"/>
        <v>611.32702878205237</v>
      </c>
      <c r="CN19" s="1">
        <f t="shared" si="38"/>
        <v>605.2137584942318</v>
      </c>
      <c r="CO19" s="1">
        <f t="shared" si="38"/>
        <v>599.16162090928947</v>
      </c>
      <c r="CP19" s="1">
        <f t="shared" si="38"/>
        <v>593.17000470019661</v>
      </c>
      <c r="CQ19" s="1">
        <f t="shared" si="38"/>
        <v>587.23830465319463</v>
      </c>
      <c r="CR19" s="1">
        <f t="shared" si="38"/>
        <v>581.36592160666271</v>
      </c>
      <c r="CS19" s="1">
        <f t="shared" si="38"/>
        <v>575.55226239059607</v>
      </c>
      <c r="CT19" s="1">
        <f t="shared" si="38"/>
        <v>569.79673976669005</v>
      </c>
      <c r="CU19" s="1">
        <f t="shared" si="38"/>
        <v>564.0987723690231</v>
      </c>
      <c r="CV19" s="1">
        <f t="shared" si="38"/>
        <v>558.45778464533282</v>
      </c>
      <c r="CW19" s="1">
        <f t="shared" ref="CW19:EQ19" si="39">CV19*(1+$AM$24)</f>
        <v>552.87320679887944</v>
      </c>
      <c r="CX19" s="1">
        <f t="shared" si="39"/>
        <v>547.34447473089062</v>
      </c>
      <c r="CY19" s="1">
        <f t="shared" si="39"/>
        <v>541.87102998358171</v>
      </c>
      <c r="CZ19" s="1">
        <f t="shared" si="39"/>
        <v>536.45231968374594</v>
      </c>
      <c r="DA19" s="1">
        <f t="shared" si="39"/>
        <v>531.08779648690847</v>
      </c>
      <c r="DB19" s="1">
        <f t="shared" si="39"/>
        <v>525.77691852203941</v>
      </c>
      <c r="DC19" s="1">
        <f t="shared" si="39"/>
        <v>520.51914933681905</v>
      </c>
      <c r="DD19" s="1">
        <f t="shared" si="39"/>
        <v>515.31395784345091</v>
      </c>
      <c r="DE19" s="1">
        <f t="shared" si="39"/>
        <v>510.16081826501642</v>
      </c>
      <c r="DF19" s="1">
        <f t="shared" si="39"/>
        <v>505.05921008236623</v>
      </c>
      <c r="DG19" s="1">
        <f t="shared" si="39"/>
        <v>500.00861798154256</v>
      </c>
      <c r="DH19" s="1">
        <f t="shared" si="39"/>
        <v>495.00853180172714</v>
      </c>
      <c r="DI19" s="1">
        <f t="shared" si="39"/>
        <v>490.05844648370987</v>
      </c>
      <c r="DJ19" s="1">
        <f t="shared" si="39"/>
        <v>485.15786201887278</v>
      </c>
      <c r="DK19" s="1">
        <f t="shared" si="39"/>
        <v>480.30628339868406</v>
      </c>
      <c r="DL19" s="1">
        <f t="shared" si="39"/>
        <v>475.50322056469719</v>
      </c>
      <c r="DM19" s="1">
        <f t="shared" si="39"/>
        <v>470.74818835905023</v>
      </c>
      <c r="DN19" s="1">
        <f t="shared" si="39"/>
        <v>466.04070647545973</v>
      </c>
      <c r="DO19" s="1">
        <f t="shared" si="39"/>
        <v>461.38029941070511</v>
      </c>
      <c r="DP19" s="1">
        <f t="shared" si="39"/>
        <v>456.76649641659805</v>
      </c>
      <c r="DQ19" s="1">
        <f t="shared" si="39"/>
        <v>452.19883145243205</v>
      </c>
      <c r="DR19" s="1">
        <f t="shared" si="39"/>
        <v>447.67684313790772</v>
      </c>
      <c r="DS19" s="1">
        <f t="shared" si="39"/>
        <v>443.20007470652865</v>
      </c>
      <c r="DT19" s="1">
        <f t="shared" si="39"/>
        <v>438.76807395946338</v>
      </c>
      <c r="DU19" s="1">
        <f t="shared" si="39"/>
        <v>434.38039321986872</v>
      </c>
      <c r="DV19" s="1">
        <f t="shared" si="39"/>
        <v>430.03658928767004</v>
      </c>
      <c r="DW19" s="1">
        <f t="shared" si="39"/>
        <v>425.73622339479334</v>
      </c>
      <c r="DX19" s="1">
        <f t="shared" si="39"/>
        <v>421.47886116084538</v>
      </c>
      <c r="DY19" s="1">
        <f t="shared" si="39"/>
        <v>417.26407254923691</v>
      </c>
      <c r="DZ19" s="1">
        <f t="shared" si="39"/>
        <v>413.09143182374453</v>
      </c>
      <c r="EA19" s="1">
        <f t="shared" si="39"/>
        <v>408.96051750550708</v>
      </c>
      <c r="EB19" s="1">
        <f t="shared" si="39"/>
        <v>404.87091233045203</v>
      </c>
      <c r="EC19" s="1">
        <f t="shared" si="39"/>
        <v>400.82220320714748</v>
      </c>
      <c r="ED19" s="1">
        <f t="shared" si="39"/>
        <v>396.81398117507598</v>
      </c>
      <c r="EE19" s="1">
        <f t="shared" si="39"/>
        <v>392.84584136332523</v>
      </c>
      <c r="EF19" s="1">
        <f t="shared" si="39"/>
        <v>388.91738294969196</v>
      </c>
      <c r="EG19" s="1">
        <f t="shared" si="39"/>
        <v>385.02820912019502</v>
      </c>
      <c r="EH19" s="1">
        <f t="shared" si="39"/>
        <v>381.17792702899305</v>
      </c>
      <c r="EI19" s="1">
        <f t="shared" si="39"/>
        <v>377.36614775870311</v>
      </c>
      <c r="EJ19" s="1">
        <f t="shared" si="39"/>
        <v>373.59248628111607</v>
      </c>
      <c r="EK19" s="1">
        <f t="shared" si="39"/>
        <v>369.85656141830492</v>
      </c>
      <c r="EL19" s="1">
        <f t="shared" si="39"/>
        <v>366.15799580412187</v>
      </c>
      <c r="EM19" s="1">
        <f t="shared" si="39"/>
        <v>362.49641584608065</v>
      </c>
      <c r="EN19" s="1">
        <f t="shared" si="39"/>
        <v>358.87145168761987</v>
      </c>
      <c r="EO19" s="1">
        <f t="shared" si="39"/>
        <v>355.28273717074364</v>
      </c>
      <c r="EP19" s="1">
        <f t="shared" si="39"/>
        <v>351.72990979903619</v>
      </c>
      <c r="EQ19" s="1">
        <f t="shared" si="39"/>
        <v>348.21261070104583</v>
      </c>
    </row>
    <row r="20" spans="2:147" x14ac:dyDescent="0.3">
      <c r="B20" t="s">
        <v>2</v>
      </c>
      <c r="F20" s="6">
        <f t="shared" ref="F20:M20" si="40">103.8+77.5+404.3</f>
        <v>585.6</v>
      </c>
      <c r="G20" s="6">
        <f t="shared" si="40"/>
        <v>585.6</v>
      </c>
      <c r="H20" s="6">
        <f t="shared" si="40"/>
        <v>585.6</v>
      </c>
      <c r="I20" s="6">
        <f t="shared" si="40"/>
        <v>585.6</v>
      </c>
      <c r="J20" s="6">
        <f t="shared" si="40"/>
        <v>585.6</v>
      </c>
      <c r="K20" s="6">
        <f t="shared" si="40"/>
        <v>585.6</v>
      </c>
      <c r="L20" s="6">
        <f t="shared" si="40"/>
        <v>585.6</v>
      </c>
      <c r="M20" s="6">
        <f t="shared" si="40"/>
        <v>585.6</v>
      </c>
      <c r="N20" s="6">
        <f>106.4+76.8+404.3</f>
        <v>587.5</v>
      </c>
      <c r="O20" s="6">
        <f>107.7+76.4+404.3</f>
        <v>588.40000000000009</v>
      </c>
      <c r="P20" s="6">
        <f>107.7+76.4+404.3</f>
        <v>588.40000000000009</v>
      </c>
      <c r="Q20" s="6">
        <f>107.7+76.4+404.3</f>
        <v>588.40000000000009</v>
      </c>
      <c r="R20" s="6">
        <f>107.7+76.4+404.3</f>
        <v>588.40000000000009</v>
      </c>
      <c r="T20" s="6">
        <f>103.8+77.5+404.3</f>
        <v>585.6</v>
      </c>
      <c r="U20" s="6">
        <f>103.8+77.5+404.3</f>
        <v>585.6</v>
      </c>
      <c r="V20" s="6">
        <f>103.8+77.5+404.3</f>
        <v>585.6</v>
      </c>
      <c r="W20" s="6">
        <f>103.8+77.5+404.3</f>
        <v>585.6</v>
      </c>
      <c r="X20" s="6">
        <f t="shared" ref="X20" si="41">106.4+76.8+404.3</f>
        <v>587.5</v>
      </c>
      <c r="Y20" s="6">
        <f t="shared" ref="Y20:AI20" si="42">107.7+76.4+404.3</f>
        <v>588.40000000000009</v>
      </c>
      <c r="Z20" s="6">
        <f t="shared" si="42"/>
        <v>588.40000000000009</v>
      </c>
      <c r="AA20" s="6">
        <f t="shared" si="42"/>
        <v>588.40000000000009</v>
      </c>
      <c r="AB20" s="6">
        <f t="shared" si="42"/>
        <v>588.40000000000009</v>
      </c>
      <c r="AC20" s="6">
        <f t="shared" si="42"/>
        <v>588.40000000000009</v>
      </c>
      <c r="AD20" s="6">
        <f t="shared" si="42"/>
        <v>588.40000000000009</v>
      </c>
      <c r="AE20" s="6">
        <f t="shared" si="42"/>
        <v>588.40000000000009</v>
      </c>
      <c r="AF20" s="6">
        <f t="shared" si="42"/>
        <v>588.40000000000009</v>
      </c>
      <c r="AG20" s="6">
        <f t="shared" si="42"/>
        <v>588.40000000000009</v>
      </c>
      <c r="AH20" s="6">
        <f t="shared" si="42"/>
        <v>588.40000000000009</v>
      </c>
      <c r="AI20" s="6">
        <f t="shared" si="42"/>
        <v>588.40000000000009</v>
      </c>
    </row>
    <row r="21" spans="2:147" x14ac:dyDescent="0.3">
      <c r="B21" t="s">
        <v>30</v>
      </c>
      <c r="F21" s="8">
        <f t="shared" ref="F21:N21" si="43">F19/F20</f>
        <v>-9.5628415300546103E-3</v>
      </c>
      <c r="G21" s="8">
        <f t="shared" si="43"/>
        <v>-1.2295081967213144E-2</v>
      </c>
      <c r="H21" s="8">
        <f t="shared" si="43"/>
        <v>-1.0416666666666621E-2</v>
      </c>
      <c r="I21" s="8">
        <f t="shared" si="43"/>
        <v>-7.5136612021858258E-3</v>
      </c>
      <c r="J21" s="8">
        <f t="shared" si="43"/>
        <v>-1.0416666666666645E-2</v>
      </c>
      <c r="K21" s="8">
        <f t="shared" si="43"/>
        <v>-4.6106557377048442E-3</v>
      </c>
      <c r="L21" s="8">
        <f t="shared" si="43"/>
        <v>-1.5027322404371579E-2</v>
      </c>
      <c r="M21" s="8">
        <f t="shared" si="43"/>
        <v>-7.3428961748634256E-3</v>
      </c>
      <c r="N21" s="8">
        <f t="shared" si="43"/>
        <v>8.5106382978724863E-3</v>
      </c>
      <c r="O21" s="8">
        <f t="shared" ref="O21:R21" si="44">O19/O20</f>
        <v>-1.0197144799455209E-3</v>
      </c>
      <c r="P21" s="8">
        <f t="shared" si="44"/>
        <v>1.5948334466349384E-3</v>
      </c>
      <c r="Q21" s="8">
        <f t="shared" si="44"/>
        <v>3.9145989123045453E-3</v>
      </c>
      <c r="R21" s="8">
        <f t="shared" si="44"/>
        <v>4.981849082256966E-3</v>
      </c>
      <c r="T21" s="8">
        <f t="shared" ref="T21:Y21" si="45">T19/T20</f>
        <v>-0.18732923497267759</v>
      </c>
      <c r="U21" s="8">
        <f t="shared" si="45"/>
        <v>-0.20884562841530055</v>
      </c>
      <c r="V21" s="8">
        <f t="shared" si="45"/>
        <v>-0.13490437158469931</v>
      </c>
      <c r="W21" s="8">
        <f t="shared" si="45"/>
        <v>-4.0642076502732549E-2</v>
      </c>
      <c r="X21" s="8">
        <f t="shared" si="45"/>
        <v>-1.8382978723404261E-2</v>
      </c>
      <c r="Y21" s="8">
        <f t="shared" si="45"/>
        <v>9.4715669612508019E-3</v>
      </c>
      <c r="Z21" s="8">
        <f t="shared" ref="Z21:AI21" si="46">Z19/Z20</f>
        <v>0.42403067131203237</v>
      </c>
      <c r="AA21" s="8">
        <f t="shared" si="46"/>
        <v>0.70829108351461589</v>
      </c>
      <c r="AB21" s="8">
        <f t="shared" si="46"/>
        <v>0.93310426141366376</v>
      </c>
      <c r="AC21" s="8">
        <f t="shared" si="46"/>
        <v>1.1086316222843569</v>
      </c>
      <c r="AD21" s="8">
        <f t="shared" si="46"/>
        <v>1.2662377748497762</v>
      </c>
      <c r="AE21" s="8">
        <f t="shared" si="46"/>
        <v>1.3919242312913589</v>
      </c>
      <c r="AF21" s="8">
        <f t="shared" si="46"/>
        <v>1.5053385442572911</v>
      </c>
      <c r="AG21" s="8">
        <f t="shared" si="46"/>
        <v>1.6125611120738155</v>
      </c>
      <c r="AH21" s="8">
        <f t="shared" si="46"/>
        <v>1.7170618422605186</v>
      </c>
      <c r="AI21" s="8">
        <f t="shared" si="46"/>
        <v>1.824021849322395</v>
      </c>
    </row>
    <row r="23" spans="2:147" x14ac:dyDescent="0.3">
      <c r="B23" t="s">
        <v>43</v>
      </c>
      <c r="F23" s="10"/>
      <c r="G23" s="10"/>
      <c r="H23" s="10"/>
      <c r="I23" s="10"/>
      <c r="J23" s="10">
        <f t="shared" ref="J23:L26" si="47">J3/F3-1</f>
        <v>0.59949516196886843</v>
      </c>
      <c r="K23" s="10">
        <f t="shared" si="47"/>
        <v>0.7569479535118746</v>
      </c>
      <c r="L23" s="10">
        <f t="shared" si="47"/>
        <v>0.43905279503105565</v>
      </c>
      <c r="M23" s="10">
        <f>M3/I3-1</f>
        <v>0.49007936507936534</v>
      </c>
      <c r="N23" s="10">
        <f>N3/J3-1</f>
        <v>0.44292477643345607</v>
      </c>
      <c r="O23" s="10">
        <f t="shared" ref="O23:R26" si="48">O3/K3-1</f>
        <v>0.33477135461604846</v>
      </c>
      <c r="P23" s="10">
        <f t="shared" si="48"/>
        <v>0.35000000000000009</v>
      </c>
      <c r="Q23" s="10">
        <f t="shared" si="48"/>
        <v>0.35000000000000009</v>
      </c>
      <c r="R23" s="10">
        <f t="shared" si="48"/>
        <v>0.30000000000000004</v>
      </c>
      <c r="T23" s="10"/>
      <c r="U23" s="10">
        <f t="shared" ref="U23:V23" si="49">U3/T3-1</f>
        <v>2.2146892655367232</v>
      </c>
      <c r="V23" s="10">
        <f t="shared" si="49"/>
        <v>1.4956063268892796</v>
      </c>
      <c r="W23" s="10">
        <f>W3/V3-1</f>
        <v>1.0036971830985912</v>
      </c>
      <c r="X23" s="10">
        <f>X3/W3-1</f>
        <v>0.50918196994991649</v>
      </c>
      <c r="Y23" s="10">
        <f t="shared" ref="Y23:AI23" si="50">Y3/X3-1</f>
        <v>0.33094725197950625</v>
      </c>
      <c r="Z23" s="10">
        <f t="shared" si="50"/>
        <v>0.25</v>
      </c>
      <c r="AA23" s="10">
        <f t="shared" si="50"/>
        <v>0.19999999999999996</v>
      </c>
      <c r="AB23" s="10">
        <f t="shared" si="50"/>
        <v>0.14999999999999991</v>
      </c>
      <c r="AC23" s="10">
        <f t="shared" si="50"/>
        <v>0.10000000000000009</v>
      </c>
      <c r="AD23" s="10">
        <f t="shared" si="50"/>
        <v>8.0000000000000071E-2</v>
      </c>
      <c r="AE23" s="10">
        <f t="shared" si="50"/>
        <v>6.0000000000000053E-2</v>
      </c>
      <c r="AF23" s="10">
        <f t="shared" si="50"/>
        <v>5.0000000000000044E-2</v>
      </c>
      <c r="AG23" s="10">
        <f t="shared" si="50"/>
        <v>5.0000000000000044E-2</v>
      </c>
      <c r="AH23" s="10">
        <f t="shared" si="50"/>
        <v>5.0000000000000044E-2</v>
      </c>
      <c r="AI23" s="10">
        <f t="shared" si="50"/>
        <v>5.0000000000000044E-2</v>
      </c>
    </row>
    <row r="24" spans="2:147" x14ac:dyDescent="0.3">
      <c r="B24" t="s">
        <v>44</v>
      </c>
      <c r="F24" s="10"/>
      <c r="G24" s="10"/>
      <c r="H24" s="10"/>
      <c r="I24" s="10"/>
      <c r="J24" s="10">
        <f t="shared" si="47"/>
        <v>1.3333333333333335</v>
      </c>
      <c r="K24" s="10">
        <f t="shared" si="47"/>
        <v>0.83333333333333348</v>
      </c>
      <c r="L24" s="10">
        <f t="shared" si="47"/>
        <v>0.73333333333333339</v>
      </c>
      <c r="M24" s="10">
        <f t="shared" ref="M24:N26" si="51">M4/I4-1</f>
        <v>0.94444444444444442</v>
      </c>
      <c r="N24" s="10">
        <f t="shared" si="51"/>
        <v>1.8095238095238098</v>
      </c>
      <c r="O24" s="10">
        <f t="shared" si="48"/>
        <v>1.5</v>
      </c>
      <c r="P24" s="10">
        <f t="shared" si="48"/>
        <v>1.4</v>
      </c>
      <c r="Q24" s="10">
        <f t="shared" si="48"/>
        <v>1.4</v>
      </c>
      <c r="R24" s="10">
        <f t="shared" si="48"/>
        <v>0.8</v>
      </c>
      <c r="T24" s="10"/>
      <c r="U24" s="10">
        <f t="shared" ref="U24:V24" si="52">U4/T4-1</f>
        <v>0.53846153846153832</v>
      </c>
      <c r="V24" s="10">
        <f t="shared" si="52"/>
        <v>-7.4999999999999956E-2</v>
      </c>
      <c r="W24" s="10">
        <f t="shared" ref="W24:X26" si="53">W4/V4-1</f>
        <v>0.78378378378378355</v>
      </c>
      <c r="X24" s="10">
        <f t="shared" si="53"/>
        <v>1.1515151515151518</v>
      </c>
      <c r="Y24" s="10">
        <f t="shared" ref="Y24:AI24" si="54">Y4/X4-1</f>
        <v>1.1661971830985913</v>
      </c>
      <c r="Z24" s="10">
        <f t="shared" si="54"/>
        <v>0.8</v>
      </c>
      <c r="AA24" s="10">
        <f t="shared" si="54"/>
        <v>0.60000000000000009</v>
      </c>
      <c r="AB24" s="10">
        <f t="shared" si="54"/>
        <v>0.39999999999999991</v>
      </c>
      <c r="AC24" s="10">
        <f t="shared" si="54"/>
        <v>0.30000000000000004</v>
      </c>
      <c r="AD24" s="10">
        <f t="shared" si="54"/>
        <v>0.19999999999999996</v>
      </c>
      <c r="AE24" s="10">
        <f t="shared" si="54"/>
        <v>0.10000000000000009</v>
      </c>
      <c r="AF24" s="10">
        <f t="shared" si="54"/>
        <v>0.10000000000000009</v>
      </c>
      <c r="AG24" s="10">
        <f t="shared" si="54"/>
        <v>5.0000000000000044E-2</v>
      </c>
      <c r="AH24" s="10">
        <f t="shared" si="54"/>
        <v>5.0000000000000044E-2</v>
      </c>
      <c r="AI24" s="10">
        <f t="shared" si="54"/>
        <v>5.0000000000000044E-2</v>
      </c>
      <c r="AL24" t="s">
        <v>53</v>
      </c>
      <c r="AM24" s="10">
        <v>-0.01</v>
      </c>
    </row>
    <row r="25" spans="2:147" x14ac:dyDescent="0.3">
      <c r="B25" t="s">
        <v>45</v>
      </c>
      <c r="F25" s="10"/>
      <c r="G25" s="10"/>
      <c r="H25" s="10"/>
      <c r="I25" s="10"/>
      <c r="J25" s="10">
        <f t="shared" si="47"/>
        <v>0.63793103448275867</v>
      </c>
      <c r="K25" s="10">
        <f t="shared" si="47"/>
        <v>0.40277777777777768</v>
      </c>
      <c r="L25" s="10">
        <f t="shared" si="47"/>
        <v>1.5769230769230771</v>
      </c>
      <c r="M25" s="10">
        <f t="shared" si="51"/>
        <v>1.1038961038961039</v>
      </c>
      <c r="N25" s="10">
        <f t="shared" si="51"/>
        <v>1.3368421052631576</v>
      </c>
      <c r="O25" s="10">
        <f t="shared" si="48"/>
        <v>0.69306930693069324</v>
      </c>
      <c r="P25" s="10">
        <f t="shared" si="48"/>
        <v>0.19999999999999996</v>
      </c>
      <c r="Q25" s="10">
        <f t="shared" si="48"/>
        <v>0.60000000000000009</v>
      </c>
      <c r="R25" s="10">
        <f t="shared" si="48"/>
        <v>0.5</v>
      </c>
      <c r="T25" s="10"/>
      <c r="U25" s="10">
        <f t="shared" ref="U25:V25" si="55">U5/T5-1</f>
        <v>8.5561497326203328E-2</v>
      </c>
      <c r="V25" s="10">
        <f t="shared" si="55"/>
        <v>6.4039408866995107E-2</v>
      </c>
      <c r="W25" s="10">
        <f t="shared" si="53"/>
        <v>0.4907407407407407</v>
      </c>
      <c r="X25" s="10">
        <f t="shared" si="53"/>
        <v>1.1304347826086958</v>
      </c>
      <c r="Y25" s="10">
        <f t="shared" ref="Y25:AI25" si="56">Y5/X5-1</f>
        <v>0.46413994169096195</v>
      </c>
      <c r="Z25" s="10">
        <f t="shared" si="56"/>
        <v>0.39999999999999991</v>
      </c>
      <c r="AA25" s="10">
        <f t="shared" si="56"/>
        <v>0.35000000000000009</v>
      </c>
      <c r="AB25" s="10">
        <f t="shared" si="56"/>
        <v>0.30000000000000004</v>
      </c>
      <c r="AC25" s="10">
        <f t="shared" si="56"/>
        <v>0.25</v>
      </c>
      <c r="AD25" s="10">
        <f t="shared" si="56"/>
        <v>0.19999999999999996</v>
      </c>
      <c r="AE25" s="10">
        <f t="shared" si="56"/>
        <v>0.14999999999999991</v>
      </c>
      <c r="AF25" s="10">
        <f t="shared" si="56"/>
        <v>0.12000000000000011</v>
      </c>
      <c r="AG25" s="10">
        <f t="shared" si="56"/>
        <v>9.000000000000008E-2</v>
      </c>
      <c r="AH25" s="10">
        <f t="shared" si="56"/>
        <v>6.0000000000000053E-2</v>
      </c>
      <c r="AI25" s="10">
        <f t="shared" si="56"/>
        <v>5.0000000000000044E-2</v>
      </c>
      <c r="AL25" t="s">
        <v>54</v>
      </c>
      <c r="AM25" s="10">
        <v>0.08</v>
      </c>
    </row>
    <row r="26" spans="2:147" x14ac:dyDescent="0.3">
      <c r="B26" t="s">
        <v>41</v>
      </c>
      <c r="F26" s="10"/>
      <c r="G26" s="10"/>
      <c r="H26" s="10"/>
      <c r="I26" s="10"/>
      <c r="J26" s="10">
        <f t="shared" si="47"/>
        <v>0.60310965630114577</v>
      </c>
      <c r="K26" s="10">
        <f t="shared" si="47"/>
        <v>0.74503150751333025</v>
      </c>
      <c r="L26" s="10">
        <f t="shared" si="47"/>
        <v>0.47396028475084284</v>
      </c>
      <c r="M26" s="10">
        <f t="shared" si="51"/>
        <v>0.50785508175697358</v>
      </c>
      <c r="N26" s="10">
        <f t="shared" si="51"/>
        <v>0.4719244512506382</v>
      </c>
      <c r="O26" s="10">
        <f t="shared" si="48"/>
        <v>0.35194444444444462</v>
      </c>
      <c r="P26" s="10">
        <f t="shared" si="48"/>
        <v>0.34927554651753923</v>
      </c>
      <c r="Q26" s="10">
        <f t="shared" si="48"/>
        <v>0.36642568573251122</v>
      </c>
      <c r="R26" s="10">
        <f t="shared" si="48"/>
        <v>0.31281428819143398</v>
      </c>
      <c r="T26" s="10"/>
      <c r="U26" s="10">
        <f t="shared" ref="U26:V26" si="57">U6/T6-1</f>
        <v>1.7350705754614553</v>
      </c>
      <c r="V26" s="10">
        <f t="shared" si="57"/>
        <v>1.3552997221119494</v>
      </c>
      <c r="W26" s="10">
        <f t="shared" si="53"/>
        <v>0.98365076689701625</v>
      </c>
      <c r="X26" s="10">
        <f t="shared" si="53"/>
        <v>0.52978162970515763</v>
      </c>
      <c r="Y26" s="10">
        <f t="shared" ref="Y26:AI26" si="58">Y6/X6-1</f>
        <v>0.3426099755609866</v>
      </c>
      <c r="Z26" s="10">
        <f t="shared" si="58"/>
        <v>0.26323164690234901</v>
      </c>
      <c r="AA26" s="10">
        <f t="shared" si="58"/>
        <v>0.21416053939578572</v>
      </c>
      <c r="AB26" s="10">
        <f t="shared" si="58"/>
        <v>0.16365402832748965</v>
      </c>
      <c r="AC26" s="10">
        <f t="shared" si="58"/>
        <v>0.11432984097787746</v>
      </c>
      <c r="AD26" s="10">
        <f t="shared" si="58"/>
        <v>9.1724478873826065E-2</v>
      </c>
      <c r="AE26" s="10">
        <f t="shared" si="58"/>
        <v>6.7822269346428987E-2</v>
      </c>
      <c r="AF26" s="10">
        <f t="shared" si="58"/>
        <v>5.7215801833010893E-2</v>
      </c>
      <c r="AG26" s="10">
        <f t="shared" si="58"/>
        <v>5.3218753234824501E-2</v>
      </c>
      <c r="AH26" s="10">
        <f t="shared" si="58"/>
        <v>5.0832790200322275E-2</v>
      </c>
      <c r="AI26" s="10">
        <f t="shared" si="58"/>
        <v>5.0000000000000044E-2</v>
      </c>
      <c r="AL26" t="s">
        <v>55</v>
      </c>
      <c r="AM26" s="6">
        <f>NPV(AM25,Y19:EQ19)</f>
        <v>9289.2853909010573</v>
      </c>
    </row>
    <row r="27" spans="2:147" x14ac:dyDescent="0.3">
      <c r="B27" t="s">
        <v>46</v>
      </c>
      <c r="F27" s="10">
        <f t="shared" ref="F27:L29" si="59">(F3-F7)/F3</f>
        <v>0.15986537652503155</v>
      </c>
      <c r="G27" s="10">
        <f t="shared" si="59"/>
        <v>0.18696311268317331</v>
      </c>
      <c r="H27" s="10">
        <f t="shared" si="59"/>
        <v>0.17274844720496904</v>
      </c>
      <c r="I27" s="10">
        <f t="shared" si="59"/>
        <v>0.19080687830687829</v>
      </c>
      <c r="J27" s="10">
        <f t="shared" si="59"/>
        <v>0.15465544450289326</v>
      </c>
      <c r="K27" s="10">
        <f t="shared" si="59"/>
        <v>0.18349151567443203</v>
      </c>
      <c r="L27" s="10">
        <f t="shared" si="59"/>
        <v>7.7151335311572616E-2</v>
      </c>
      <c r="M27" s="10">
        <f>(M3-M7)/M3</f>
        <v>0.11495783399911232</v>
      </c>
      <c r="N27" s="10">
        <f>(N3-N7)/N3</f>
        <v>0.19431279620853084</v>
      </c>
      <c r="O27" s="10">
        <f t="shared" ref="O27:R27" si="60">(O3-O7)/O3</f>
        <v>0.17733247145011852</v>
      </c>
      <c r="P27" s="10">
        <f t="shared" si="60"/>
        <v>0.2</v>
      </c>
      <c r="Q27" s="10">
        <f t="shared" si="60"/>
        <v>0.19999999999999996</v>
      </c>
      <c r="R27" s="10">
        <f t="shared" si="60"/>
        <v>0.1800000000000001</v>
      </c>
      <c r="T27" s="10">
        <f t="shared" ref="T27:V27" si="61">(T3-T7)/T3</f>
        <v>-0.12005649717514125</v>
      </c>
      <c r="U27" s="10">
        <f t="shared" si="61"/>
        <v>4.8330404217926184E-2</v>
      </c>
      <c r="V27" s="10">
        <f t="shared" si="61"/>
        <v>0.18274647887323944</v>
      </c>
      <c r="W27" s="10">
        <f>(W3-W7)/W3</f>
        <v>0.17397416747210254</v>
      </c>
      <c r="X27" s="10">
        <f>(X3-X7)/X3</f>
        <v>0.14601769911504422</v>
      </c>
      <c r="Y27" s="10">
        <f t="shared" ref="Y27:AI27" si="62">(Y3-Y7)/Y3</f>
        <v>0.18915869617044345</v>
      </c>
      <c r="Z27" s="10">
        <f t="shared" si="62"/>
        <v>0.2</v>
      </c>
      <c r="AA27" s="10">
        <f t="shared" si="62"/>
        <v>0.21</v>
      </c>
      <c r="AB27" s="10">
        <f t="shared" si="62"/>
        <v>0.20999999999999991</v>
      </c>
      <c r="AC27" s="10">
        <f t="shared" si="62"/>
        <v>0.20999999999999994</v>
      </c>
      <c r="AD27" s="10">
        <f t="shared" si="62"/>
        <v>0.21</v>
      </c>
      <c r="AE27" s="10">
        <f t="shared" si="62"/>
        <v>0.20999999999999994</v>
      </c>
      <c r="AF27" s="10">
        <f t="shared" si="62"/>
        <v>0.21</v>
      </c>
      <c r="AG27" s="10">
        <f t="shared" si="62"/>
        <v>0.21</v>
      </c>
      <c r="AH27" s="10">
        <f t="shared" si="62"/>
        <v>0.20999999999999996</v>
      </c>
      <c r="AI27" s="10">
        <f t="shared" si="62"/>
        <v>0.20999999999999994</v>
      </c>
      <c r="AL27" t="s">
        <v>60</v>
      </c>
      <c r="AM27" s="6">
        <f>Main!D8</f>
        <v>988.9</v>
      </c>
    </row>
    <row r="28" spans="2:147" x14ac:dyDescent="0.3">
      <c r="B28" t="s">
        <v>47</v>
      </c>
      <c r="F28" s="10">
        <f t="shared" si="59"/>
        <v>-0.33333333333333326</v>
      </c>
      <c r="G28" s="10">
        <f t="shared" si="59"/>
        <v>-0.41666666666666669</v>
      </c>
      <c r="H28" s="10">
        <f t="shared" si="59"/>
        <v>-0.40000000000000008</v>
      </c>
      <c r="I28" s="10">
        <f t="shared" si="59"/>
        <v>-1</v>
      </c>
      <c r="J28" s="10">
        <f t="shared" si="59"/>
        <v>0.14285714285714288</v>
      </c>
      <c r="K28" s="10">
        <f t="shared" si="59"/>
        <v>0.22727272727272735</v>
      </c>
      <c r="L28" s="10">
        <f t="shared" si="59"/>
        <v>0.26923076923076927</v>
      </c>
      <c r="M28" s="10">
        <f t="shared" ref="M28:N29" si="63">(M4-M8)/M4</f>
        <v>0.2857142857142857</v>
      </c>
      <c r="N28" s="10">
        <f t="shared" si="63"/>
        <v>0.5423728813559322</v>
      </c>
      <c r="O28" s="10">
        <f t="shared" ref="O28:R28" si="64">(O4-O8)/O4</f>
        <v>0.65454545454545454</v>
      </c>
      <c r="P28" s="10">
        <f t="shared" si="64"/>
        <v>0.3000000000000001</v>
      </c>
      <c r="Q28" s="10">
        <f t="shared" si="64"/>
        <v>0.31999999999999995</v>
      </c>
      <c r="R28" s="10">
        <f t="shared" si="64"/>
        <v>0.39999999999999997</v>
      </c>
      <c r="T28" s="10">
        <f t="shared" ref="T28:V28" si="65">(T4-T8)/T4</f>
        <v>-0.42307692307692307</v>
      </c>
      <c r="U28" s="10">
        <f t="shared" si="65"/>
        <v>0.25</v>
      </c>
      <c r="V28" s="10">
        <f t="shared" si="65"/>
        <v>-0.18918918918918923</v>
      </c>
      <c r="W28" s="10">
        <f t="shared" ref="W28:X28" si="66">(W4-W8)/W4</f>
        <v>-0.3939393939393942</v>
      </c>
      <c r="X28" s="10">
        <f t="shared" si="66"/>
        <v>0.38028169014084506</v>
      </c>
      <c r="Y28" s="10">
        <f t="shared" ref="Y28:AI28" si="67">(Y4-Y8)/Y4</f>
        <v>0.4033810143042913</v>
      </c>
      <c r="Z28" s="10">
        <f t="shared" si="67"/>
        <v>0.35</v>
      </c>
      <c r="AA28" s="10">
        <f t="shared" si="67"/>
        <v>0.34999999999999992</v>
      </c>
      <c r="AB28" s="10">
        <f t="shared" si="67"/>
        <v>0.35000000000000003</v>
      </c>
      <c r="AC28" s="10">
        <f t="shared" si="67"/>
        <v>0.35</v>
      </c>
      <c r="AD28" s="10">
        <f t="shared" si="67"/>
        <v>0.35</v>
      </c>
      <c r="AE28" s="10">
        <f t="shared" si="67"/>
        <v>0.35000000000000003</v>
      </c>
      <c r="AF28" s="10">
        <f t="shared" si="67"/>
        <v>0.35000000000000003</v>
      </c>
      <c r="AG28" s="10">
        <f t="shared" si="67"/>
        <v>0.35</v>
      </c>
      <c r="AH28" s="10">
        <f t="shared" si="67"/>
        <v>0.35</v>
      </c>
      <c r="AI28" s="10">
        <f t="shared" si="67"/>
        <v>0.35000000000000003</v>
      </c>
      <c r="AL28" t="s">
        <v>61</v>
      </c>
      <c r="AM28" s="6">
        <f>AM26+AM27</f>
        <v>10278.185390901057</v>
      </c>
    </row>
    <row r="29" spans="2:147" x14ac:dyDescent="0.3">
      <c r="B29" t="s">
        <v>48</v>
      </c>
      <c r="F29" s="10">
        <f t="shared" si="59"/>
        <v>-0.17241379310344829</v>
      </c>
      <c r="G29" s="10">
        <f t="shared" si="59"/>
        <v>-0.18055555555555552</v>
      </c>
      <c r="H29" s="10">
        <f t="shared" si="59"/>
        <v>-0.12820512820512833</v>
      </c>
      <c r="I29" s="10">
        <f t="shared" si="59"/>
        <v>-0.38961038961038946</v>
      </c>
      <c r="J29" s="10">
        <f t="shared" si="59"/>
        <v>-3.157894736842113E-2</v>
      </c>
      <c r="K29" s="10">
        <f t="shared" si="59"/>
        <v>-9.9009900990098664E-3</v>
      </c>
      <c r="L29" s="10">
        <f t="shared" si="59"/>
        <v>4.9751243781094523E-2</v>
      </c>
      <c r="M29" s="10">
        <f t="shared" si="63"/>
        <v>0.12962962962962962</v>
      </c>
      <c r="N29" s="10">
        <f t="shared" si="63"/>
        <v>-5.4054054054054022E-2</v>
      </c>
      <c r="O29" s="10">
        <f t="shared" ref="O29:R29" si="68">(O5-O9)/O5</f>
        <v>-0.34502923976608174</v>
      </c>
      <c r="P29" s="10">
        <f t="shared" si="68"/>
        <v>0.15000000000000008</v>
      </c>
      <c r="Q29" s="10">
        <f t="shared" si="68"/>
        <v>0.15000000000000005</v>
      </c>
      <c r="R29" s="10">
        <f t="shared" si="68"/>
        <v>9.9999999999999964E-2</v>
      </c>
      <c r="T29" s="10">
        <f t="shared" ref="T29:V29" si="69">(T5-T9)/T5</f>
        <v>-0.50267379679144397</v>
      </c>
      <c r="U29" s="10">
        <f t="shared" si="69"/>
        <v>-7.8817733990147673E-2</v>
      </c>
      <c r="V29" s="10">
        <f t="shared" si="69"/>
        <v>-0.16203703703703703</v>
      </c>
      <c r="W29" s="10">
        <f t="shared" ref="W29:X29" si="70">(W5-W9)/W5</f>
        <v>-0.17391304347826067</v>
      </c>
      <c r="X29" s="10">
        <f t="shared" si="70"/>
        <v>2.623906705539375E-2</v>
      </c>
      <c r="Y29" s="10">
        <f t="shared" ref="Y29:AI29" si="71">(Y5-Y9)/Y5</f>
        <v>4.9143767423337384E-2</v>
      </c>
      <c r="Z29" s="10">
        <f t="shared" si="71"/>
        <v>0.25</v>
      </c>
      <c r="AA29" s="10">
        <f t="shared" si="71"/>
        <v>0.35</v>
      </c>
      <c r="AB29" s="10">
        <f t="shared" si="71"/>
        <v>0.40000000000000008</v>
      </c>
      <c r="AC29" s="10">
        <f t="shared" si="71"/>
        <v>0.4</v>
      </c>
      <c r="AD29" s="10">
        <f t="shared" si="71"/>
        <v>0.4</v>
      </c>
      <c r="AE29" s="10">
        <f t="shared" si="71"/>
        <v>0.4</v>
      </c>
      <c r="AF29" s="10">
        <f t="shared" si="71"/>
        <v>0.4</v>
      </c>
      <c r="AG29" s="10">
        <f t="shared" si="71"/>
        <v>0.39999999999999997</v>
      </c>
      <c r="AH29" s="10">
        <f t="shared" si="71"/>
        <v>0.4</v>
      </c>
      <c r="AI29" s="10">
        <f t="shared" si="71"/>
        <v>0.4</v>
      </c>
      <c r="AL29" t="s">
        <v>62</v>
      </c>
      <c r="AM29" s="3">
        <f>AM28/AI20</f>
        <v>17.468024117778818</v>
      </c>
    </row>
    <row r="30" spans="2:147" x14ac:dyDescent="0.3">
      <c r="B30" t="s">
        <v>42</v>
      </c>
      <c r="F30" s="10">
        <f t="shared" ref="F30:L30" si="72">F11/F6</f>
        <v>0.15016366612111301</v>
      </c>
      <c r="G30" s="10">
        <f t="shared" si="72"/>
        <v>0.1706253029568589</v>
      </c>
      <c r="H30" s="10">
        <f t="shared" si="72"/>
        <v>0.16073435743724251</v>
      </c>
      <c r="I30" s="10">
        <f t="shared" si="72"/>
        <v>0.16960564283424168</v>
      </c>
      <c r="J30" s="10">
        <f t="shared" si="72"/>
        <v>0.15007656967840738</v>
      </c>
      <c r="K30" s="10">
        <f t="shared" si="72"/>
        <v>0.17833333333333345</v>
      </c>
      <c r="L30" s="10">
        <f t="shared" si="72"/>
        <v>7.7020843924758539E-2</v>
      </c>
      <c r="M30" s="10">
        <f>M11/M6</f>
        <v>0.11673399957473948</v>
      </c>
      <c r="N30" s="10">
        <f>N11/N6</f>
        <v>0.18831281428819155</v>
      </c>
      <c r="O30" s="10">
        <f t="shared" ref="O30:R30" si="73">O11/O6</f>
        <v>0.16437230326689964</v>
      </c>
      <c r="P30" s="10">
        <f t="shared" si="73"/>
        <v>0.19890355215192013</v>
      </c>
      <c r="Q30" s="10">
        <f t="shared" si="73"/>
        <v>0.19955184165071649</v>
      </c>
      <c r="R30" s="10">
        <f t="shared" si="73"/>
        <v>0.17956729626205264</v>
      </c>
      <c r="T30" s="10">
        <f t="shared" ref="T30:V30" si="74">T11/T6</f>
        <v>-0.20629750271444083</v>
      </c>
      <c r="U30" s="10">
        <f t="shared" si="74"/>
        <v>4.1286224692338253E-2</v>
      </c>
      <c r="V30" s="10">
        <f t="shared" si="74"/>
        <v>0.16787459969661228</v>
      </c>
      <c r="W30" s="10">
        <f>W11/W6</f>
        <v>0.16127113603534698</v>
      </c>
      <c r="X30" s="10">
        <f>X11/X6</f>
        <v>0.14330148855809821</v>
      </c>
      <c r="Y30" s="10">
        <f t="shared" ref="Y30:AI30" si="75">Y11/Y6</f>
        <v>0.18606689047610181</v>
      </c>
      <c r="Z30" s="10">
        <f t="shared" si="75"/>
        <v>0.20502238763017627</v>
      </c>
      <c r="AA30" s="10">
        <f t="shared" si="75"/>
        <v>0.22051359161654296</v>
      </c>
      <c r="AB30" s="10">
        <f t="shared" si="75"/>
        <v>0.22489304507491858</v>
      </c>
      <c r="AC30" s="10">
        <f t="shared" si="75"/>
        <v>0.22688686816638901</v>
      </c>
      <c r="AD30" s="10">
        <f t="shared" si="75"/>
        <v>0.2285616812591493</v>
      </c>
      <c r="AE30" s="10">
        <f t="shared" si="75"/>
        <v>0.22974849734911976</v>
      </c>
      <c r="AF30" s="10">
        <f t="shared" si="75"/>
        <v>0.2308207135275796</v>
      </c>
      <c r="AG30" s="10">
        <f t="shared" si="75"/>
        <v>0.23133774417665026</v>
      </c>
      <c r="AH30" s="10">
        <f t="shared" si="75"/>
        <v>0.23147140985126921</v>
      </c>
      <c r="AI30" s="10">
        <f t="shared" si="75"/>
        <v>0.23147140985126929</v>
      </c>
      <c r="AL30" t="s">
        <v>63</v>
      </c>
      <c r="AM30" s="3">
        <f>Main!D3</f>
        <v>18.190000000000001</v>
      </c>
    </row>
    <row r="31" spans="2:147" x14ac:dyDescent="0.3">
      <c r="B31" t="s">
        <v>49</v>
      </c>
      <c r="F31" s="10"/>
      <c r="G31" s="10"/>
      <c r="H31" s="10"/>
      <c r="I31" s="10"/>
      <c r="J31" s="10">
        <f t="shared" ref="J31:L31" si="76">J12/F12-1</f>
        <v>5.2873563218390762E-2</v>
      </c>
      <c r="K31" s="10">
        <f t="shared" si="76"/>
        <v>-0.16962524654832345</v>
      </c>
      <c r="L31" s="10">
        <f t="shared" si="76"/>
        <v>-6.4386317907444757E-2</v>
      </c>
      <c r="M31" s="10">
        <f>M12/I12-1</f>
        <v>-8.4016393442622794E-2</v>
      </c>
      <c r="N31" s="10">
        <f>N12/J12-1</f>
        <v>-0.12445414847161562</v>
      </c>
      <c r="O31" s="10">
        <f t="shared" ref="O31:R31" si="77">O12/K12-1</f>
        <v>3.562945368171011E-2</v>
      </c>
      <c r="P31" s="10">
        <f t="shared" si="77"/>
        <v>2.0000000000000018E-2</v>
      </c>
      <c r="Q31" s="10">
        <f t="shared" si="77"/>
        <v>2.0000000000000018E-2</v>
      </c>
      <c r="R31" s="10">
        <f t="shared" si="77"/>
        <v>2.0000000000000018E-2</v>
      </c>
      <c r="T31" s="10"/>
      <c r="U31" s="10">
        <f t="shared" ref="U31:V31" si="78">U12/T12-1</f>
        <v>0.31305903398926671</v>
      </c>
      <c r="V31" s="10">
        <f t="shared" si="78"/>
        <v>0.69073569482288799</v>
      </c>
      <c r="W31" s="10">
        <f>W12/V12-1</f>
        <v>0.57131345688960522</v>
      </c>
      <c r="X31" s="10">
        <f>X12/W12-1</f>
        <v>-0.11076923076923073</v>
      </c>
      <c r="Y31" s="10">
        <f t="shared" ref="Y31:AI31" si="79">Y12/X12-1</f>
        <v>2.3794694348327594E-2</v>
      </c>
      <c r="Z31" s="10">
        <f t="shared" si="79"/>
        <v>2.0000000000000018E-2</v>
      </c>
      <c r="AA31" s="10">
        <f t="shared" si="79"/>
        <v>2.0000000000000018E-2</v>
      </c>
      <c r="AB31" s="10">
        <f t="shared" si="79"/>
        <v>2.0000000000000018E-2</v>
      </c>
      <c r="AC31" s="10">
        <f t="shared" si="79"/>
        <v>2.0000000000000018E-2</v>
      </c>
      <c r="AD31" s="10">
        <f t="shared" si="79"/>
        <v>2.0000000000000018E-2</v>
      </c>
      <c r="AE31" s="10">
        <f t="shared" si="79"/>
        <v>2.0000000000000018E-2</v>
      </c>
      <c r="AF31" s="10">
        <f t="shared" si="79"/>
        <v>2.0000000000000018E-2</v>
      </c>
      <c r="AG31" s="10">
        <f t="shared" si="79"/>
        <v>2.0000000000000018E-2</v>
      </c>
      <c r="AH31" s="10">
        <f t="shared" si="79"/>
        <v>2.0000000000000018E-2</v>
      </c>
      <c r="AI31" s="10">
        <f t="shared" si="79"/>
        <v>2.0000000000000018E-2</v>
      </c>
      <c r="AL31" s="1" t="s">
        <v>64</v>
      </c>
      <c r="AM31" s="11">
        <f>AM29/AM30-1</f>
        <v>-3.9690812656469676E-2</v>
      </c>
    </row>
    <row r="32" spans="2:147" x14ac:dyDescent="0.3">
      <c r="B32" t="s">
        <v>50</v>
      </c>
      <c r="F32" s="10"/>
      <c r="G32" s="10"/>
      <c r="H32" s="10"/>
      <c r="I32" s="10"/>
      <c r="J32" s="10">
        <f t="shared" ref="J32:L32" si="80">J13/F13-1</f>
        <v>0.40546218487394969</v>
      </c>
      <c r="K32" s="10">
        <f t="shared" si="80"/>
        <v>-0.12962962962962965</v>
      </c>
      <c r="L32" s="10">
        <f t="shared" si="80"/>
        <v>-4.3222003929273001E-2</v>
      </c>
      <c r="M32" s="10">
        <f>M13/I13-1</f>
        <v>3.9045553145336198E-2</v>
      </c>
      <c r="N32" s="10">
        <f>N13/J13-1</f>
        <v>-0.32137518684603894</v>
      </c>
      <c r="O32" s="10">
        <f t="shared" ref="O32:R32" si="81">O13/K13-1</f>
        <v>0.30000000000000004</v>
      </c>
      <c r="P32" s="10">
        <f t="shared" si="81"/>
        <v>3.0000000000000027E-2</v>
      </c>
      <c r="Q32" s="10">
        <f t="shared" si="81"/>
        <v>3.0000000000000027E-2</v>
      </c>
      <c r="R32" s="10">
        <f t="shared" si="81"/>
        <v>3.0000000000000027E-2</v>
      </c>
      <c r="T32" s="10"/>
      <c r="U32" s="10">
        <f t="shared" ref="U32:V32" si="82">U13/T13-1</f>
        <v>0.6685393258426966</v>
      </c>
      <c r="V32" s="10">
        <f t="shared" si="82"/>
        <v>0.95117845117845135</v>
      </c>
      <c r="W32" s="10">
        <f>W13/V13-1</f>
        <v>0.88006902502157036</v>
      </c>
      <c r="X32" s="10">
        <f>X13/W13-1</f>
        <v>-0.13262964662689314</v>
      </c>
      <c r="Y32" s="10">
        <f t="shared" ref="Y32:AI32" si="83">Y13/X13-1</f>
        <v>9.7142857142857197E-2</v>
      </c>
      <c r="Z32" s="10">
        <f t="shared" si="83"/>
        <v>2.0000000000000018E-2</v>
      </c>
      <c r="AA32" s="10">
        <f t="shared" si="83"/>
        <v>2.0000000000000018E-2</v>
      </c>
      <c r="AB32" s="10">
        <f t="shared" si="83"/>
        <v>2.0000000000000018E-2</v>
      </c>
      <c r="AC32" s="10">
        <f t="shared" si="83"/>
        <v>2.0000000000000018E-2</v>
      </c>
      <c r="AD32" s="10">
        <f t="shared" si="83"/>
        <v>2.0000000000000018E-2</v>
      </c>
      <c r="AE32" s="10">
        <f t="shared" si="83"/>
        <v>2.0000000000000018E-2</v>
      </c>
      <c r="AF32" s="10">
        <f t="shared" si="83"/>
        <v>2.0000000000000018E-2</v>
      </c>
      <c r="AG32" s="10">
        <f t="shared" si="83"/>
        <v>2.0000000000000018E-2</v>
      </c>
      <c r="AH32" s="10">
        <f t="shared" si="83"/>
        <v>2.0000000000000018E-2</v>
      </c>
      <c r="AI32" s="10">
        <f t="shared" si="83"/>
        <v>2.0000000000000018E-2</v>
      </c>
      <c r="AL32" t="s">
        <v>65</v>
      </c>
      <c r="AM32" s="7" t="s">
        <v>66</v>
      </c>
    </row>
    <row r="33" spans="2:35" x14ac:dyDescent="0.3">
      <c r="B33" t="s">
        <v>51</v>
      </c>
      <c r="F33" s="10">
        <f t="shared" ref="F33:L33" si="84">F14/F6</f>
        <v>-0.22258592471358421</v>
      </c>
      <c r="G33" s="10">
        <f t="shared" si="84"/>
        <v>-0.33688802714493465</v>
      </c>
      <c r="H33" s="10">
        <f t="shared" si="84"/>
        <v>-0.21618583739228162</v>
      </c>
      <c r="I33" s="10">
        <f t="shared" si="84"/>
        <v>-0.13465854440525818</v>
      </c>
      <c r="J33" s="10">
        <f t="shared" si="84"/>
        <v>-0.13757018887187339</v>
      </c>
      <c r="K33" s="10">
        <f t="shared" si="84"/>
        <v>-6.9166666666666543E-2</v>
      </c>
      <c r="L33" s="10">
        <f t="shared" si="84"/>
        <v>-0.16497203863751903</v>
      </c>
      <c r="M33" s="10">
        <f>M14/M6</f>
        <v>-8.0161598979374915E-2</v>
      </c>
      <c r="N33" s="10">
        <f>N14/N6</f>
        <v>4.0055488122074018E-2</v>
      </c>
      <c r="O33" s="10">
        <f t="shared" ref="O33:R33" si="85">O14/O6</f>
        <v>-5.0749948633655111E-2</v>
      </c>
      <c r="P33" s="10">
        <f t="shared" si="85"/>
        <v>1.504884091144573E-2</v>
      </c>
      <c r="Q33" s="10">
        <f t="shared" si="85"/>
        <v>5.1829201873550793E-2</v>
      </c>
      <c r="R33" s="10">
        <f t="shared" si="85"/>
        <v>6.3778100647206515E-2</v>
      </c>
      <c r="T33" s="10">
        <f t="shared" ref="T33:V33" si="86">T14/T6</f>
        <v>-1.1997828447339849</v>
      </c>
      <c r="U33" s="10">
        <f t="shared" si="86"/>
        <v>-0.48590710599444226</v>
      </c>
      <c r="V33" s="10">
        <f t="shared" si="86"/>
        <v>-0.23664250800606759</v>
      </c>
      <c r="W33" s="10">
        <f>W14/W6</f>
        <v>-0.18956580847990501</v>
      </c>
      <c r="X33" s="10">
        <f>X14/X6</f>
        <v>-5.7987113974672301E-2</v>
      </c>
      <c r="Y33" s="10">
        <f t="shared" ref="Y33:AI33" si="87">Y14/Y6</f>
        <v>2.6841163560845316E-2</v>
      </c>
      <c r="Z33" s="10">
        <f t="shared" si="87"/>
        <v>7.6455119820017986E-2</v>
      </c>
      <c r="AA33" s="10">
        <f t="shared" si="87"/>
        <v>0.11250595266657246</v>
      </c>
      <c r="AB33" s="10">
        <f t="shared" si="87"/>
        <v>0.13021903626551914</v>
      </c>
      <c r="AC33" s="10">
        <f t="shared" si="87"/>
        <v>0.14022716882562208</v>
      </c>
      <c r="AD33" s="10">
        <f t="shared" si="87"/>
        <v>0.14759537974435286</v>
      </c>
      <c r="AE33" s="10">
        <f t="shared" si="87"/>
        <v>0.15240826019931794</v>
      </c>
      <c r="AF33" s="10">
        <f t="shared" si="87"/>
        <v>0.15620298481408257</v>
      </c>
      <c r="AG33" s="10">
        <f t="shared" si="87"/>
        <v>0.15907347518789103</v>
      </c>
      <c r="AH33" s="10">
        <f t="shared" si="87"/>
        <v>0.16132746777416382</v>
      </c>
      <c r="AI33" s="10">
        <f t="shared" si="87"/>
        <v>0.16333158040493839</v>
      </c>
    </row>
    <row r="34" spans="2:35" x14ac:dyDescent="0.3">
      <c r="B34" t="s">
        <v>27</v>
      </c>
      <c r="F34" s="10">
        <f t="shared" ref="F34:L34" si="88">F17/F16</f>
        <v>0</v>
      </c>
      <c r="G34" s="10">
        <f t="shared" si="88"/>
        <v>-4.4313146233382556E-3</v>
      </c>
      <c r="H34" s="10">
        <f t="shared" si="88"/>
        <v>0</v>
      </c>
      <c r="I34" s="10">
        <f t="shared" si="88"/>
        <v>0</v>
      </c>
      <c r="J34" s="10">
        <f t="shared" si="88"/>
        <v>9.7609561752988072E-2</v>
      </c>
      <c r="K34" s="10">
        <f t="shared" si="88"/>
        <v>-1.0695187165775426E-2</v>
      </c>
      <c r="L34" s="10">
        <f t="shared" si="88"/>
        <v>5.4446460980036304E-3</v>
      </c>
      <c r="M34" s="10">
        <f>M17/M16</f>
        <v>-7.6628352490421391E-3</v>
      </c>
      <c r="N34" s="10">
        <f>N17/N16</f>
        <v>0.13538461538461505</v>
      </c>
      <c r="O34" s="10">
        <f t="shared" ref="O34:R34" si="89">O17/O16</f>
        <v>5.9171597633136293E-3</v>
      </c>
      <c r="P34" s="10">
        <f t="shared" si="89"/>
        <v>0.15</v>
      </c>
      <c r="Q34" s="10">
        <f t="shared" si="89"/>
        <v>0.15</v>
      </c>
      <c r="R34" s="10">
        <f t="shared" si="89"/>
        <v>0.15</v>
      </c>
      <c r="T34" s="10">
        <f t="shared" ref="T34:V34" si="90">T17/T16</f>
        <v>0</v>
      </c>
      <c r="U34" s="10">
        <f t="shared" si="90"/>
        <v>0</v>
      </c>
      <c r="V34" s="10">
        <f t="shared" si="90"/>
        <v>0</v>
      </c>
      <c r="W34" s="10">
        <f>W17/W16</f>
        <v>2.1657250470809776E-2</v>
      </c>
      <c r="X34" s="10">
        <f>X17/X16</f>
        <v>-6.6765578635014824E-2</v>
      </c>
      <c r="Y34" s="10">
        <f t="shared" ref="Y34:AI34" si="91">Y17/Y16</f>
        <v>0.17285067576064131</v>
      </c>
      <c r="Z34" s="10">
        <f t="shared" si="91"/>
        <v>0.1</v>
      </c>
      <c r="AA34" s="10">
        <f t="shared" si="91"/>
        <v>0.1</v>
      </c>
      <c r="AB34" s="10">
        <f t="shared" si="91"/>
        <v>0.1</v>
      </c>
      <c r="AC34" s="10">
        <f t="shared" si="91"/>
        <v>0.1</v>
      </c>
      <c r="AD34" s="10">
        <f t="shared" si="91"/>
        <v>0.1</v>
      </c>
      <c r="AE34" s="10">
        <f t="shared" si="91"/>
        <v>0.1</v>
      </c>
      <c r="AF34" s="10">
        <f t="shared" si="91"/>
        <v>0.1</v>
      </c>
      <c r="AG34" s="10">
        <f t="shared" si="91"/>
        <v>0.1</v>
      </c>
      <c r="AH34" s="10">
        <f t="shared" si="91"/>
        <v>0.1</v>
      </c>
      <c r="AI34" s="10">
        <f t="shared" si="91"/>
        <v>0.1</v>
      </c>
    </row>
    <row r="35" spans="2:35" x14ac:dyDescent="0.3">
      <c r="B35" t="s">
        <v>28</v>
      </c>
      <c r="F35" s="10">
        <f t="shared" ref="F35:L35" si="92">F18/F16</f>
        <v>0.89493433395872457</v>
      </c>
      <c r="G35" s="10">
        <f t="shared" si="92"/>
        <v>0.89807976366321984</v>
      </c>
      <c r="H35" s="10">
        <f t="shared" si="92"/>
        <v>0.88989169675090296</v>
      </c>
      <c r="I35" s="10">
        <f t="shared" si="92"/>
        <v>0.88746803069053659</v>
      </c>
      <c r="J35" s="10">
        <f t="shared" si="92"/>
        <v>0.78087649402390458</v>
      </c>
      <c r="K35" s="10">
        <f t="shared" si="92"/>
        <v>0.86631016042780951</v>
      </c>
      <c r="L35" s="10">
        <f t="shared" si="92"/>
        <v>0.83484573502722337</v>
      </c>
      <c r="M35" s="10">
        <f>M18/M16</f>
        <v>0.84291187739463524</v>
      </c>
      <c r="N35" s="10">
        <f>N18/N16</f>
        <v>0.71076923076922893</v>
      </c>
      <c r="O35" s="10">
        <f t="shared" ref="O35:R35" si="93">O18/O16</f>
        <v>0.95857988165680774</v>
      </c>
      <c r="P35" s="10">
        <f t="shared" si="93"/>
        <v>0.8</v>
      </c>
      <c r="Q35" s="10">
        <f t="shared" si="93"/>
        <v>0.8</v>
      </c>
      <c r="R35" s="10">
        <f t="shared" si="93"/>
        <v>0.8</v>
      </c>
      <c r="T35" s="10">
        <f t="shared" ref="T35:V35" si="94">T18/T16</f>
        <v>0</v>
      </c>
      <c r="U35" s="10">
        <f t="shared" si="94"/>
        <v>0</v>
      </c>
      <c r="V35" s="10">
        <f t="shared" si="94"/>
        <v>0.43206326383896504</v>
      </c>
      <c r="W35" s="10">
        <f>W18/W16</f>
        <v>0.86629001883239098</v>
      </c>
      <c r="X35" s="10">
        <f>X18/X16</f>
        <v>0.90652818991097917</v>
      </c>
      <c r="Y35" s="10">
        <f t="shared" ref="Y35:AI35" si="95">Y18/Y16</f>
        <v>0.77485018027165575</v>
      </c>
      <c r="Z35" s="10">
        <f t="shared" si="95"/>
        <v>0</v>
      </c>
      <c r="AA35" s="10">
        <f t="shared" si="95"/>
        <v>0</v>
      </c>
      <c r="AB35" s="10">
        <f t="shared" si="95"/>
        <v>0</v>
      </c>
      <c r="AC35" s="10">
        <f t="shared" si="95"/>
        <v>0</v>
      </c>
      <c r="AD35" s="10">
        <f t="shared" si="95"/>
        <v>0</v>
      </c>
      <c r="AE35" s="10">
        <f t="shared" si="95"/>
        <v>0</v>
      </c>
      <c r="AF35" s="10">
        <f t="shared" si="95"/>
        <v>0</v>
      </c>
      <c r="AG35" s="10">
        <f t="shared" si="95"/>
        <v>0</v>
      </c>
      <c r="AH35" s="10">
        <f t="shared" si="95"/>
        <v>0</v>
      </c>
      <c r="AI35" s="10">
        <f t="shared" si="95"/>
        <v>0</v>
      </c>
    </row>
    <row r="36" spans="2:35" x14ac:dyDescent="0.3">
      <c r="B36" t="s">
        <v>52</v>
      </c>
      <c r="F36" s="10">
        <f t="shared" ref="F36:L36" si="96">F19/F6</f>
        <v>-2.2913256955810066E-2</v>
      </c>
      <c r="G36" s="10">
        <f t="shared" si="96"/>
        <v>-3.490063015026669E-2</v>
      </c>
      <c r="H36" s="10">
        <f t="shared" si="96"/>
        <v>-2.2855001873360706E-2</v>
      </c>
      <c r="I36" s="10">
        <f t="shared" si="96"/>
        <v>-1.4107085604360437E-2</v>
      </c>
      <c r="J36" s="10">
        <f t="shared" si="96"/>
        <v>-1.5569167942827941E-2</v>
      </c>
      <c r="K36" s="10">
        <f t="shared" si="96"/>
        <v>-7.49999999999988E-3</v>
      </c>
      <c r="L36" s="10">
        <f t="shared" si="96"/>
        <v>-2.236908998474834E-2</v>
      </c>
      <c r="M36" s="10">
        <f>M19/M6</f>
        <v>-9.1431001488412114E-3</v>
      </c>
      <c r="N36" s="10">
        <f>N19/N6</f>
        <v>8.6700190740421103E-3</v>
      </c>
      <c r="O36" s="10">
        <f t="shared" ref="O36:R36" si="97">O19/O6</f>
        <v>-1.2327922745016325E-3</v>
      </c>
      <c r="P36" s="10">
        <f t="shared" si="97"/>
        <v>1.7678808602028956E-3</v>
      </c>
      <c r="Q36" s="10">
        <f t="shared" si="97"/>
        <v>3.5842553257706528E-3</v>
      </c>
      <c r="R36" s="10">
        <f t="shared" si="97"/>
        <v>3.8717738739928666E-3</v>
      </c>
      <c r="T36" s="10">
        <f t="shared" ref="T36:V36" si="98">T19/T6</f>
        <v>-1.1910966340933768</v>
      </c>
      <c r="U36" s="10">
        <f t="shared" si="98"/>
        <v>-0.48551012306470825</v>
      </c>
      <c r="V36" s="10">
        <f t="shared" si="98"/>
        <v>-0.133153547952132</v>
      </c>
      <c r="W36" s="10">
        <f>W19/W6</f>
        <v>-2.0222618744158538E-2</v>
      </c>
      <c r="X36" s="10">
        <f>X19/X6</f>
        <v>-5.9986669628971367E-3</v>
      </c>
      <c r="Y36" s="10">
        <f t="shared" ref="Y36:AI36" si="99">Y19/Y6</f>
        <v>2.3055557279288001E-3</v>
      </c>
      <c r="Z36" s="10">
        <f t="shared" si="99"/>
        <v>8.1708655505095679E-2</v>
      </c>
      <c r="AA36" s="10">
        <f t="shared" si="99"/>
        <v>0.11241038971316557</v>
      </c>
      <c r="AB36" s="10">
        <f t="shared" si="99"/>
        <v>0.12726265352729138</v>
      </c>
      <c r="AC36" s="10">
        <f t="shared" si="99"/>
        <v>0.13568889411097823</v>
      </c>
      <c r="AD36" s="10">
        <f t="shared" si="99"/>
        <v>0.14195779925005689</v>
      </c>
      <c r="AE36" s="10">
        <f t="shared" si="99"/>
        <v>0.14613714349253673</v>
      </c>
      <c r="AF36" s="10">
        <f t="shared" si="99"/>
        <v>0.14949117480066615</v>
      </c>
      <c r="AG36" s="10">
        <f t="shared" si="99"/>
        <v>0.15204739080903568</v>
      </c>
      <c r="AH36" s="10">
        <f t="shared" si="99"/>
        <v>0.1540689456915752</v>
      </c>
      <c r="AI36" s="10">
        <f t="shared" si="99"/>
        <v>0.15587264705927231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2024-12-09T11:05:09Z</dcterms:created>
  <dcterms:modified xsi:type="dcterms:W3CDTF">2025-04-04T09:29:47Z</dcterms:modified>
</cp:coreProperties>
</file>