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os\Desktop\Financial Analysis\"/>
    </mc:Choice>
  </mc:AlternateContent>
  <xr:revisionPtr revIDLastSave="0" documentId="13_ncr:1_{016BDDAA-1785-4E88-BE87-7269A3F78D66}" xr6:coauthVersionLast="47" xr6:coauthVersionMax="47" xr10:uidLastSave="{00000000-0000-0000-0000-000000000000}"/>
  <bookViews>
    <workbookView xWindow="-108" yWindow="-108" windowWidth="23256" windowHeight="12576" activeTab="1" xr2:uid="{9B1FC1B8-76BD-435F-A8D0-7D91938D651F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W3" i="2" l="1"/>
  <c r="AW5" i="2" s="1"/>
  <c r="BD6" i="2"/>
  <c r="BE6" i="2" s="1"/>
  <c r="BF6" i="2" s="1"/>
  <c r="BG6" i="2" s="1"/>
  <c r="BC6" i="2"/>
  <c r="BB6" i="2"/>
  <c r="AW6" i="2"/>
  <c r="AA5" i="2"/>
  <c r="AA7" i="2" s="1"/>
  <c r="AA17" i="2" s="1"/>
  <c r="AD10" i="2"/>
  <c r="AD8" i="2"/>
  <c r="AD6" i="2"/>
  <c r="AD4" i="2"/>
  <c r="AD3" i="2"/>
  <c r="AH15" i="2" s="1"/>
  <c r="AH12" i="2"/>
  <c r="AH10" i="2"/>
  <c r="AH8" i="2"/>
  <c r="AH6" i="2"/>
  <c r="AH4" i="2"/>
  <c r="AH3" i="2"/>
  <c r="AE5" i="2"/>
  <c r="AE7" i="2" s="1"/>
  <c r="AB5" i="2"/>
  <c r="AB16" i="2" s="1"/>
  <c r="AF5" i="2"/>
  <c r="AF16" i="2" s="1"/>
  <c r="AC5" i="2"/>
  <c r="AC7" i="2" s="1"/>
  <c r="AL20" i="2"/>
  <c r="AK20" i="2"/>
  <c r="AJ20" i="2"/>
  <c r="AI20" i="2"/>
  <c r="AG20" i="2"/>
  <c r="Z20" i="2"/>
  <c r="Y20" i="2"/>
  <c r="X20" i="2"/>
  <c r="W20" i="2"/>
  <c r="AL19" i="2"/>
  <c r="AK19" i="2"/>
  <c r="AJ19" i="2"/>
  <c r="AI19" i="2"/>
  <c r="AG19" i="2"/>
  <c r="Z19" i="2"/>
  <c r="Y19" i="2"/>
  <c r="X19" i="2"/>
  <c r="W19" i="2"/>
  <c r="AL18" i="2"/>
  <c r="AK18" i="2"/>
  <c r="AJ18" i="2"/>
  <c r="AI18" i="2"/>
  <c r="AG18" i="2"/>
  <c r="AF18" i="2"/>
  <c r="AE18" i="2"/>
  <c r="AD18" i="2"/>
  <c r="AC18" i="2"/>
  <c r="AB18" i="2"/>
  <c r="AA18" i="2"/>
  <c r="Z18" i="2"/>
  <c r="Y18" i="2"/>
  <c r="X18" i="2"/>
  <c r="W18" i="2"/>
  <c r="AL17" i="2"/>
  <c r="AK17" i="2"/>
  <c r="AJ17" i="2"/>
  <c r="AI17" i="2"/>
  <c r="AG17" i="2"/>
  <c r="Z17" i="2"/>
  <c r="Y17" i="2"/>
  <c r="X17" i="2"/>
  <c r="W17" i="2"/>
  <c r="AL16" i="2"/>
  <c r="AK16" i="2"/>
  <c r="AJ16" i="2"/>
  <c r="AI16" i="2"/>
  <c r="AG16" i="2"/>
  <c r="Z16" i="2"/>
  <c r="Y16" i="2"/>
  <c r="X16" i="2"/>
  <c r="W16" i="2"/>
  <c r="AL15" i="2"/>
  <c r="AK15" i="2"/>
  <c r="AJ15" i="2"/>
  <c r="AI15" i="2"/>
  <c r="AG15" i="2"/>
  <c r="AF15" i="2"/>
  <c r="AE15" i="2"/>
  <c r="AC15" i="2"/>
  <c r="AB15" i="2"/>
  <c r="AA15" i="2"/>
  <c r="Z15" i="2"/>
  <c r="Y15" i="2"/>
  <c r="X15" i="2"/>
  <c r="W15" i="2"/>
  <c r="AS8" i="2"/>
  <c r="AT8" i="2"/>
  <c r="AT5" i="2"/>
  <c r="AO5" i="2"/>
  <c r="AU5" i="2"/>
  <c r="BG12" i="2"/>
  <c r="BF12" i="2"/>
  <c r="BE12" i="2"/>
  <c r="BD12" i="2"/>
  <c r="BC12" i="2"/>
  <c r="BB12" i="2"/>
  <c r="BA12" i="2"/>
  <c r="AZ12" i="2"/>
  <c r="AY12" i="2"/>
  <c r="AX12" i="2"/>
  <c r="AW12" i="2"/>
  <c r="AV12" i="2"/>
  <c r="AV5" i="2"/>
  <c r="D7" i="1"/>
  <c r="D6" i="1"/>
  <c r="AG5" i="2"/>
  <c r="AG7" i="2" s="1"/>
  <c r="AG9" i="2" s="1"/>
  <c r="AG11" i="2" s="1"/>
  <c r="AG13" i="2" s="1"/>
  <c r="D4" i="1"/>
  <c r="T6" i="2"/>
  <c r="U3" i="2"/>
  <c r="U5" i="2" s="1"/>
  <c r="U4" i="2" s="1"/>
  <c r="T3" i="2"/>
  <c r="T5" i="2" s="1"/>
  <c r="V3" i="2"/>
  <c r="V5" i="2" s="1"/>
  <c r="V4" i="2" s="1"/>
  <c r="S5" i="2"/>
  <c r="S18" i="2"/>
  <c r="T8" i="2"/>
  <c r="U8" i="2" s="1"/>
  <c r="V8" i="2" s="1"/>
  <c r="V6" i="2"/>
  <c r="U6" i="2"/>
  <c r="U18" i="2" s="1"/>
  <c r="R6" i="2"/>
  <c r="AR6" i="2" s="1"/>
  <c r="R5" i="2"/>
  <c r="BJ23" i="2"/>
  <c r="AR3" i="2"/>
  <c r="AR8" i="2"/>
  <c r="AQ10" i="2"/>
  <c r="AQ8" i="2"/>
  <c r="AQ6" i="2"/>
  <c r="AQ4" i="2"/>
  <c r="AQ3" i="2"/>
  <c r="AP10" i="2"/>
  <c r="AP8" i="2"/>
  <c r="AP4" i="2"/>
  <c r="AP3" i="2"/>
  <c r="AO10" i="2"/>
  <c r="AO8" i="2"/>
  <c r="AO4" i="2"/>
  <c r="AO3" i="2"/>
  <c r="Q18" i="2"/>
  <c r="P18" i="2"/>
  <c r="O18" i="2"/>
  <c r="N18" i="2"/>
  <c r="L18" i="2"/>
  <c r="K18" i="2"/>
  <c r="H18" i="2"/>
  <c r="G18" i="2"/>
  <c r="R15" i="2"/>
  <c r="Q15" i="2"/>
  <c r="P15" i="2"/>
  <c r="O15" i="2"/>
  <c r="N15" i="2"/>
  <c r="M15" i="2"/>
  <c r="L15" i="2"/>
  <c r="K15" i="2"/>
  <c r="J15" i="2"/>
  <c r="I15" i="2"/>
  <c r="H15" i="2"/>
  <c r="G15" i="2"/>
  <c r="F6" i="2"/>
  <c r="AO6" i="2" s="1"/>
  <c r="F5" i="2"/>
  <c r="C5" i="2"/>
  <c r="C7" i="2" s="1"/>
  <c r="C9" i="2" s="1"/>
  <c r="C11" i="2" s="1"/>
  <c r="C13" i="2" s="1"/>
  <c r="G5" i="2"/>
  <c r="G7" i="2" s="1"/>
  <c r="G9" i="2" s="1"/>
  <c r="G11" i="2" s="1"/>
  <c r="G13" i="2" s="1"/>
  <c r="D5" i="2"/>
  <c r="D7" i="2" s="1"/>
  <c r="D9" i="2" s="1"/>
  <c r="D11" i="2" s="1"/>
  <c r="D13" i="2" s="1"/>
  <c r="H5" i="2"/>
  <c r="H7" i="2" s="1"/>
  <c r="H9" i="2" s="1"/>
  <c r="H11" i="2" s="1"/>
  <c r="H13" i="2" s="1"/>
  <c r="E5" i="2"/>
  <c r="E7" i="2" s="1"/>
  <c r="E9" i="2" s="1"/>
  <c r="E11" i="2" s="1"/>
  <c r="E13" i="2" s="1"/>
  <c r="I6" i="2"/>
  <c r="AP6" i="2" s="1"/>
  <c r="I5" i="2"/>
  <c r="I16" i="2" s="1"/>
  <c r="J5" i="2"/>
  <c r="J7" i="2" s="1"/>
  <c r="J9" i="2" s="1"/>
  <c r="J11" i="2" s="1"/>
  <c r="J13" i="2" s="1"/>
  <c r="N5" i="2"/>
  <c r="N7" i="2" s="1"/>
  <c r="N9" i="2" s="1"/>
  <c r="N11" i="2" s="1"/>
  <c r="N13" i="2" s="1"/>
  <c r="K5" i="2"/>
  <c r="K7" i="2" s="1"/>
  <c r="K9" i="2" s="1"/>
  <c r="K11" i="2" s="1"/>
  <c r="K13" i="2" s="1"/>
  <c r="O5" i="2"/>
  <c r="O7" i="2" s="1"/>
  <c r="O9" i="2" s="1"/>
  <c r="O11" i="2" s="1"/>
  <c r="O13" i="2" s="1"/>
  <c r="L5" i="2"/>
  <c r="L7" i="2" s="1"/>
  <c r="L9" i="2" s="1"/>
  <c r="L11" i="2" s="1"/>
  <c r="L13" i="2" s="1"/>
  <c r="P5" i="2"/>
  <c r="P7" i="2" s="1"/>
  <c r="P9" i="2" s="1"/>
  <c r="P11" i="2" s="1"/>
  <c r="P13" i="2" s="1"/>
  <c r="M5" i="2"/>
  <c r="M7" i="2" s="1"/>
  <c r="M9" i="2" s="1"/>
  <c r="M11" i="2" s="1"/>
  <c r="M13" i="2" s="1"/>
  <c r="Q5" i="2"/>
  <c r="Q7" i="2" s="1"/>
  <c r="Q9" i="2" s="1"/>
  <c r="Q11" i="2" s="1"/>
  <c r="Q13" i="2" s="1"/>
  <c r="AX3" i="2" l="1"/>
  <c r="AA16" i="2"/>
  <c r="AA9" i="2"/>
  <c r="AD15" i="2"/>
  <c r="AH18" i="2"/>
  <c r="AD5" i="2"/>
  <c r="AH5" i="2"/>
  <c r="AH16" i="2" s="1"/>
  <c r="AE9" i="2"/>
  <c r="AE17" i="2"/>
  <c r="AE16" i="2"/>
  <c r="AB7" i="2"/>
  <c r="AF7" i="2"/>
  <c r="AC16" i="2"/>
  <c r="AC17" i="2"/>
  <c r="AC9" i="2"/>
  <c r="V15" i="2"/>
  <c r="C20" i="2"/>
  <c r="O20" i="2"/>
  <c r="P20" i="2"/>
  <c r="G20" i="2"/>
  <c r="K20" i="2"/>
  <c r="AX6" i="2"/>
  <c r="AY6" i="2" s="1"/>
  <c r="Q20" i="2"/>
  <c r="H20" i="2"/>
  <c r="AP5" i="2"/>
  <c r="AP16" i="2" s="1"/>
  <c r="V18" i="2"/>
  <c r="J20" i="2"/>
  <c r="D20" i="2"/>
  <c r="L20" i="2"/>
  <c r="R18" i="2"/>
  <c r="E20" i="2"/>
  <c r="M20" i="2"/>
  <c r="U15" i="2"/>
  <c r="N20" i="2"/>
  <c r="T18" i="2"/>
  <c r="U7" i="2"/>
  <c r="U17" i="2" s="1"/>
  <c r="U16" i="2"/>
  <c r="V16" i="2"/>
  <c r="V7" i="2"/>
  <c r="V17" i="2" s="1"/>
  <c r="T4" i="2"/>
  <c r="T15" i="2"/>
  <c r="T16" i="2"/>
  <c r="T7" i="2"/>
  <c r="T17" i="2" s="1"/>
  <c r="S15" i="2"/>
  <c r="S16" i="2"/>
  <c r="N19" i="2"/>
  <c r="M16" i="2"/>
  <c r="Q16" i="2"/>
  <c r="Q17" i="2"/>
  <c r="F7" i="2"/>
  <c r="I18" i="2"/>
  <c r="AO16" i="2"/>
  <c r="M19" i="2"/>
  <c r="M18" i="2"/>
  <c r="Q19" i="2"/>
  <c r="F16" i="2"/>
  <c r="J17" i="2"/>
  <c r="N17" i="2"/>
  <c r="H17" i="2"/>
  <c r="L16" i="2"/>
  <c r="AP18" i="2"/>
  <c r="AQ18" i="2"/>
  <c r="L19" i="2"/>
  <c r="N16" i="2"/>
  <c r="P17" i="2"/>
  <c r="G19" i="2"/>
  <c r="O19" i="2"/>
  <c r="G16" i="2"/>
  <c r="O16" i="2"/>
  <c r="H19" i="2"/>
  <c r="P19" i="2"/>
  <c r="H16" i="2"/>
  <c r="P16" i="2"/>
  <c r="AR4" i="2"/>
  <c r="AR5" i="2" s="1"/>
  <c r="K17" i="2"/>
  <c r="AP15" i="2"/>
  <c r="J18" i="2"/>
  <c r="J19" i="2"/>
  <c r="C17" i="2"/>
  <c r="J16" i="2"/>
  <c r="D17" i="2"/>
  <c r="L17" i="2"/>
  <c r="AQ15" i="2"/>
  <c r="C19" i="2"/>
  <c r="K19" i="2"/>
  <c r="C16" i="2"/>
  <c r="K16" i="2"/>
  <c r="E17" i="2"/>
  <c r="M17" i="2"/>
  <c r="D19" i="2"/>
  <c r="D16" i="2"/>
  <c r="E19" i="2"/>
  <c r="E16" i="2"/>
  <c r="G17" i="2"/>
  <c r="O17" i="2"/>
  <c r="AR18" i="2"/>
  <c r="AR15" i="2"/>
  <c r="AQ5" i="2"/>
  <c r="I7" i="2"/>
  <c r="D8" i="1"/>
  <c r="BJ20" i="2" s="1"/>
  <c r="D5" i="1"/>
  <c r="F3" i="1"/>
  <c r="AY3" i="2" l="1"/>
  <c r="AX5" i="2"/>
  <c r="AA19" i="2"/>
  <c r="AA11" i="2"/>
  <c r="AD16" i="2"/>
  <c r="AD7" i="2"/>
  <c r="AH7" i="2"/>
  <c r="AH9" i="2" s="1"/>
  <c r="AH17" i="2"/>
  <c r="AE11" i="2"/>
  <c r="AE19" i="2"/>
  <c r="AB9" i="2"/>
  <c r="AB17" i="2"/>
  <c r="AF9" i="2"/>
  <c r="AF17" i="2"/>
  <c r="AC11" i="2"/>
  <c r="AC19" i="2"/>
  <c r="V9" i="2"/>
  <c r="V10" i="2" s="1"/>
  <c r="V19" i="2" s="1"/>
  <c r="AP7" i="2"/>
  <c r="AP9" i="2" s="1"/>
  <c r="AS18" i="2"/>
  <c r="AS15" i="2"/>
  <c r="AO7" i="2"/>
  <c r="AO9" i="2" s="1"/>
  <c r="AU18" i="2"/>
  <c r="U9" i="2"/>
  <c r="U10" i="2" s="1"/>
  <c r="U19" i="2" s="1"/>
  <c r="T9" i="2"/>
  <c r="T10" i="2" s="1"/>
  <c r="T19" i="2" s="1"/>
  <c r="AS5" i="2"/>
  <c r="S7" i="2"/>
  <c r="S9" i="2" s="1"/>
  <c r="AT18" i="2"/>
  <c r="D9" i="1"/>
  <c r="F9" i="2"/>
  <c r="F17" i="2"/>
  <c r="R7" i="2"/>
  <c r="R9" i="2" s="1"/>
  <c r="AR10" i="2" s="1"/>
  <c r="I9" i="2"/>
  <c r="I17" i="2"/>
  <c r="AQ7" i="2"/>
  <c r="AQ16" i="2"/>
  <c r="AT15" i="2"/>
  <c r="R16" i="2"/>
  <c r="AR7" i="2"/>
  <c r="AR16" i="2"/>
  <c r="AZ3" i="2" l="1"/>
  <c r="AY5" i="2"/>
  <c r="AA13" i="2"/>
  <c r="AA20" i="2"/>
  <c r="AD9" i="2"/>
  <c r="AD17" i="2"/>
  <c r="AH11" i="2"/>
  <c r="AH19" i="2"/>
  <c r="AE13" i="2"/>
  <c r="AE20" i="2"/>
  <c r="AB11" i="2"/>
  <c r="AB19" i="2"/>
  <c r="AF11" i="2"/>
  <c r="AF19" i="2"/>
  <c r="AC13" i="2"/>
  <c r="AC20" i="2"/>
  <c r="AP17" i="2"/>
  <c r="V11" i="2"/>
  <c r="V20" i="2" s="1"/>
  <c r="AO17" i="2"/>
  <c r="U11" i="2"/>
  <c r="U13" i="2" s="1"/>
  <c r="T11" i="2"/>
  <c r="T13" i="2" s="1"/>
  <c r="S17" i="2"/>
  <c r="AS16" i="2"/>
  <c r="AS7" i="2"/>
  <c r="F11" i="2"/>
  <c r="F19" i="2"/>
  <c r="R17" i="2"/>
  <c r="AU15" i="2"/>
  <c r="AT16" i="2"/>
  <c r="AT7" i="2"/>
  <c r="R11" i="2"/>
  <c r="AP11" i="2"/>
  <c r="AP19" i="2"/>
  <c r="AQ9" i="2"/>
  <c r="AQ17" i="2"/>
  <c r="R19" i="2"/>
  <c r="I11" i="2"/>
  <c r="I19" i="2"/>
  <c r="AO11" i="2"/>
  <c r="AO19" i="2"/>
  <c r="AV18" i="2"/>
  <c r="AR17" i="2"/>
  <c r="AR9" i="2"/>
  <c r="BA3" i="2" l="1"/>
  <c r="AZ5" i="2"/>
  <c r="AD11" i="2"/>
  <c r="AD19" i="2"/>
  <c r="AH13" i="2"/>
  <c r="AH20" i="2"/>
  <c r="AB20" i="2"/>
  <c r="AB13" i="2"/>
  <c r="AF13" i="2"/>
  <c r="AF20" i="2"/>
  <c r="V13" i="2"/>
  <c r="R13" i="2"/>
  <c r="R20" i="2"/>
  <c r="AP13" i="2"/>
  <c r="AP20" i="2"/>
  <c r="AO13" i="2"/>
  <c r="AO20" i="2"/>
  <c r="I13" i="2"/>
  <c r="I20" i="2"/>
  <c r="F13" i="2"/>
  <c r="F20" i="2"/>
  <c r="U20" i="2"/>
  <c r="T20" i="2"/>
  <c r="AS9" i="2"/>
  <c r="AS17" i="2"/>
  <c r="S19" i="2"/>
  <c r="S11" i="2"/>
  <c r="AV15" i="2"/>
  <c r="AU16" i="2"/>
  <c r="AU7" i="2"/>
  <c r="AU17" i="2" s="1"/>
  <c r="AT17" i="2"/>
  <c r="AQ11" i="2"/>
  <c r="AQ19" i="2"/>
  <c r="AW18" i="2"/>
  <c r="AR11" i="2"/>
  <c r="AR19" i="2"/>
  <c r="BB3" i="2" l="1"/>
  <c r="BA5" i="2"/>
  <c r="AD13" i="2"/>
  <c r="AD20" i="2"/>
  <c r="AQ13" i="2"/>
  <c r="AQ20" i="2"/>
  <c r="AR13" i="2"/>
  <c r="AR20" i="2"/>
  <c r="S13" i="2"/>
  <c r="S20" i="2"/>
  <c r="AS19" i="2"/>
  <c r="AS11" i="2"/>
  <c r="AW15" i="2"/>
  <c r="AW4" i="2"/>
  <c r="AV16" i="2"/>
  <c r="AV7" i="2"/>
  <c r="AV17" i="2" s="1"/>
  <c r="AX18" i="2"/>
  <c r="BC3" i="2" l="1"/>
  <c r="BB5" i="2"/>
  <c r="AX4" i="2"/>
  <c r="AS20" i="2"/>
  <c r="AT9" i="2"/>
  <c r="AS13" i="2"/>
  <c r="AX15" i="2"/>
  <c r="AW16" i="2"/>
  <c r="AW7" i="2"/>
  <c r="AW17" i="2" s="1"/>
  <c r="AZ6" i="2"/>
  <c r="AY18" i="2"/>
  <c r="BD3" i="2" l="1"/>
  <c r="BC5" i="2"/>
  <c r="AT11" i="2"/>
  <c r="AT13" i="2" s="1"/>
  <c r="AY4" i="2"/>
  <c r="AY15" i="2"/>
  <c r="AX16" i="2"/>
  <c r="AX7" i="2"/>
  <c r="AX17" i="2" s="1"/>
  <c r="BA6" i="2"/>
  <c r="AZ18" i="2"/>
  <c r="BE3" i="2" l="1"/>
  <c r="BD5" i="2"/>
  <c r="AT19" i="2"/>
  <c r="AT20" i="2"/>
  <c r="AU9" i="2"/>
  <c r="AZ15" i="2"/>
  <c r="AY16" i="2"/>
  <c r="AY7" i="2"/>
  <c r="AY17" i="2" s="1"/>
  <c r="BA18" i="2"/>
  <c r="BF3" i="2" l="1"/>
  <c r="BE5" i="2"/>
  <c r="BC18" i="2"/>
  <c r="BC15" i="2"/>
  <c r="BC4" i="2"/>
  <c r="AU11" i="2"/>
  <c r="AU13" i="2" s="1"/>
  <c r="BA15" i="2"/>
  <c r="AZ16" i="2"/>
  <c r="AZ4" i="2"/>
  <c r="AZ7" i="2"/>
  <c r="AZ17" i="2" s="1"/>
  <c r="BB18" i="2"/>
  <c r="BG3" i="2" l="1"/>
  <c r="BG5" i="2" s="1"/>
  <c r="BF5" i="2"/>
  <c r="BD18" i="2"/>
  <c r="BC7" i="2"/>
  <c r="BC17" i="2" s="1"/>
  <c r="BC16" i="2"/>
  <c r="BD15" i="2"/>
  <c r="BD4" i="2"/>
  <c r="AU19" i="2"/>
  <c r="AU20" i="2"/>
  <c r="AV9" i="2"/>
  <c r="BA16" i="2"/>
  <c r="BA4" i="2"/>
  <c r="BA7" i="2"/>
  <c r="BA17" i="2" s="1"/>
  <c r="BB15" i="2"/>
  <c r="BE18" i="2" l="1"/>
  <c r="BE15" i="2"/>
  <c r="BD16" i="2"/>
  <c r="BD7" i="2"/>
  <c r="BD17" i="2" s="1"/>
  <c r="AV19" i="2"/>
  <c r="BB16" i="2"/>
  <c r="BB4" i="2"/>
  <c r="BB7" i="2"/>
  <c r="BB17" i="2" s="1"/>
  <c r="BG18" i="2" l="1"/>
  <c r="BF18" i="2"/>
  <c r="BE7" i="2"/>
  <c r="BE17" i="2" s="1"/>
  <c r="BE16" i="2"/>
  <c r="BE4" i="2"/>
  <c r="BF4" i="2"/>
  <c r="BF15" i="2"/>
  <c r="AV11" i="2"/>
  <c r="AW8" i="2" s="1"/>
  <c r="AW9" i="2" s="1"/>
  <c r="AW10" i="2" l="1"/>
  <c r="AW19" i="2" s="1"/>
  <c r="BG15" i="2"/>
  <c r="BG4" i="2"/>
  <c r="BF7" i="2"/>
  <c r="BF17" i="2" s="1"/>
  <c r="BF16" i="2"/>
  <c r="AV20" i="2"/>
  <c r="AV13" i="2"/>
  <c r="AW11" i="2" l="1"/>
  <c r="BG16" i="2"/>
  <c r="BG7" i="2"/>
  <c r="BG17" i="2" s="1"/>
  <c r="AW20" i="2"/>
  <c r="AX8" i="2"/>
  <c r="AX9" i="2" s="1"/>
  <c r="AW13" i="2" l="1"/>
  <c r="AX10" i="2"/>
  <c r="AX19" i="2" s="1"/>
  <c r="AX11" i="2" l="1"/>
  <c r="AX13" i="2" l="1"/>
  <c r="AX20" i="2"/>
  <c r="AY8" i="2"/>
  <c r="AY9" i="2"/>
  <c r="AY10" i="2" s="1"/>
  <c r="AY19" i="2" l="1"/>
  <c r="AY11" i="2" l="1"/>
  <c r="AY20" i="2" l="1"/>
  <c r="AZ8" i="2"/>
  <c r="AY13" i="2"/>
  <c r="AZ9" i="2" l="1"/>
  <c r="AZ10" i="2" s="1"/>
  <c r="AZ19" i="2" l="1"/>
  <c r="AZ11" i="2" l="1"/>
  <c r="AZ20" i="2" l="1"/>
  <c r="BA8" i="2"/>
  <c r="AZ13" i="2"/>
  <c r="BA9" i="2" l="1"/>
  <c r="BA10" i="2" s="1"/>
  <c r="BA19" i="2" l="1"/>
  <c r="BA11" i="2" l="1"/>
  <c r="BA20" i="2" s="1"/>
  <c r="BB8" i="2" l="1"/>
  <c r="BB9" i="2" s="1"/>
  <c r="BB10" i="2" s="1"/>
  <c r="BA13" i="2"/>
  <c r="BB19" i="2" l="1"/>
  <c r="BB11" i="2" l="1"/>
  <c r="BB20" i="2" l="1"/>
  <c r="BC8" i="2"/>
  <c r="BC9" i="2" s="1"/>
  <c r="BC10" i="2" s="1"/>
  <c r="BB13" i="2"/>
  <c r="BC19" i="2" l="1"/>
  <c r="BC11" i="2" l="1"/>
  <c r="BC20" i="2" s="1"/>
  <c r="BC13" i="2" l="1"/>
  <c r="BD8" i="2"/>
  <c r="BD9" i="2" s="1"/>
  <c r="BD10" i="2" l="1"/>
  <c r="BD11" i="2" s="1"/>
  <c r="BD20" i="2" s="1"/>
  <c r="BD19" i="2" l="1"/>
  <c r="BE8" i="2"/>
  <c r="BE9" i="2" s="1"/>
  <c r="BD13" i="2"/>
  <c r="BE10" i="2" l="1"/>
  <c r="BE19" i="2" s="1"/>
  <c r="BE11" i="2" l="1"/>
  <c r="BF8" i="2" s="1"/>
  <c r="BF9" i="2" s="1"/>
  <c r="BF10" i="2" s="1"/>
  <c r="BF19" i="2" s="1"/>
  <c r="BE20" i="2" l="1"/>
  <c r="BE13" i="2"/>
  <c r="BF11" i="2"/>
  <c r="BF20" i="2" s="1"/>
  <c r="BF13" i="2" l="1"/>
  <c r="BG8" i="2"/>
  <c r="BG9" i="2" s="1"/>
  <c r="BG10" i="2" s="1"/>
  <c r="BG19" i="2" s="1"/>
  <c r="BG11" i="2" l="1"/>
  <c r="BH11" i="2" s="1"/>
  <c r="BI11" i="2" s="1"/>
  <c r="BJ11" i="2" s="1"/>
  <c r="BK11" i="2" s="1"/>
  <c r="BL11" i="2" s="1"/>
  <c r="BM11" i="2" s="1"/>
  <c r="BN11" i="2" s="1"/>
  <c r="BO11" i="2" s="1"/>
  <c r="BP11" i="2" s="1"/>
  <c r="BQ11" i="2" s="1"/>
  <c r="BR11" i="2" s="1"/>
  <c r="BS11" i="2" s="1"/>
  <c r="BT11" i="2" s="1"/>
  <c r="BU11" i="2" s="1"/>
  <c r="BV11" i="2" s="1"/>
  <c r="BW11" i="2" s="1"/>
  <c r="BX11" i="2" s="1"/>
  <c r="BY11" i="2" s="1"/>
  <c r="BZ11" i="2" s="1"/>
  <c r="CA11" i="2" s="1"/>
  <c r="CB11" i="2" s="1"/>
  <c r="CC11" i="2" s="1"/>
  <c r="CD11" i="2" s="1"/>
  <c r="CE11" i="2" s="1"/>
  <c r="CF11" i="2" s="1"/>
  <c r="CG11" i="2" s="1"/>
  <c r="CH11" i="2" s="1"/>
  <c r="CI11" i="2" s="1"/>
  <c r="CJ11" i="2" s="1"/>
  <c r="CK11" i="2" s="1"/>
  <c r="CL11" i="2" s="1"/>
  <c r="CM11" i="2" s="1"/>
  <c r="CN11" i="2" s="1"/>
  <c r="CO11" i="2" s="1"/>
  <c r="CP11" i="2" s="1"/>
  <c r="CQ11" i="2" s="1"/>
  <c r="CR11" i="2" s="1"/>
  <c r="CS11" i="2" s="1"/>
  <c r="CT11" i="2" s="1"/>
  <c r="CU11" i="2" s="1"/>
  <c r="CV11" i="2" s="1"/>
  <c r="CW11" i="2" s="1"/>
  <c r="CX11" i="2" s="1"/>
  <c r="CY11" i="2" s="1"/>
  <c r="CZ11" i="2" s="1"/>
  <c r="DA11" i="2" s="1"/>
  <c r="DB11" i="2" s="1"/>
  <c r="DC11" i="2" s="1"/>
  <c r="DD11" i="2" s="1"/>
  <c r="DE11" i="2" s="1"/>
  <c r="DF11" i="2" s="1"/>
  <c r="DG11" i="2" s="1"/>
  <c r="DH11" i="2" s="1"/>
  <c r="DI11" i="2" s="1"/>
  <c r="DJ11" i="2" s="1"/>
  <c r="DK11" i="2" s="1"/>
  <c r="DL11" i="2" s="1"/>
  <c r="DM11" i="2" s="1"/>
  <c r="DN11" i="2" s="1"/>
  <c r="DO11" i="2" s="1"/>
  <c r="DP11" i="2" s="1"/>
  <c r="DQ11" i="2" s="1"/>
  <c r="DR11" i="2" s="1"/>
  <c r="DS11" i="2" s="1"/>
  <c r="DT11" i="2" s="1"/>
  <c r="DU11" i="2" s="1"/>
  <c r="DV11" i="2" s="1"/>
  <c r="DW11" i="2" s="1"/>
  <c r="DX11" i="2" s="1"/>
  <c r="DY11" i="2" s="1"/>
  <c r="DZ11" i="2" s="1"/>
  <c r="EA11" i="2" s="1"/>
  <c r="EB11" i="2" s="1"/>
  <c r="EC11" i="2" s="1"/>
  <c r="ED11" i="2" s="1"/>
  <c r="EE11" i="2" s="1"/>
  <c r="EF11" i="2" s="1"/>
  <c r="EG11" i="2" s="1"/>
  <c r="EH11" i="2" s="1"/>
  <c r="EI11" i="2" s="1"/>
  <c r="EJ11" i="2" s="1"/>
  <c r="EK11" i="2" s="1"/>
  <c r="EL11" i="2" s="1"/>
  <c r="EM11" i="2" s="1"/>
  <c r="EN11" i="2" s="1"/>
  <c r="EO11" i="2" s="1"/>
  <c r="EP11" i="2" s="1"/>
  <c r="EQ11" i="2" s="1"/>
  <c r="ER11" i="2" s="1"/>
  <c r="ES11" i="2" s="1"/>
  <c r="ET11" i="2" s="1"/>
  <c r="EU11" i="2" s="1"/>
  <c r="EV11" i="2" s="1"/>
  <c r="EW11" i="2" s="1"/>
  <c r="EX11" i="2" s="1"/>
  <c r="EY11" i="2" s="1"/>
  <c r="EZ11" i="2" s="1"/>
  <c r="FA11" i="2" s="1"/>
  <c r="FB11" i="2" s="1"/>
  <c r="FC11" i="2" s="1"/>
  <c r="FD11" i="2" s="1"/>
  <c r="FE11" i="2" s="1"/>
  <c r="FF11" i="2" s="1"/>
  <c r="FG11" i="2" s="1"/>
  <c r="FH11" i="2" s="1"/>
  <c r="FI11" i="2" s="1"/>
  <c r="FJ11" i="2" s="1"/>
  <c r="BG20" i="2" l="1"/>
  <c r="BG13" i="2"/>
  <c r="BJ19" i="2"/>
  <c r="BJ21" i="2" s="1"/>
  <c r="BJ22" i="2" s="1"/>
  <c r="BJ24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Anton</author>
  </authors>
  <commentList>
    <comment ref="R6" authorId="0" shapeId="0" xr:uid="{2DA63629-94AD-4959-9BCB-D1FA4EB1F3E9}">
      <text>
        <r>
          <rPr>
            <b/>
            <sz val="9"/>
            <color indexed="81"/>
            <rFont val="Tahoma"/>
            <family val="2"/>
          </rPr>
          <t>Anton:</t>
        </r>
        <r>
          <rPr>
            <sz val="9"/>
            <color indexed="81"/>
            <rFont val="Tahoma"/>
            <family val="2"/>
          </rPr>
          <t xml:space="preserve">
loss on extinguishment</t>
        </r>
      </text>
    </comment>
  </commentList>
</comments>
</file>

<file path=xl/sharedStrings.xml><?xml version="1.0" encoding="utf-8"?>
<sst xmlns="http://schemas.openxmlformats.org/spreadsheetml/2006/main" count="77" uniqueCount="72">
  <si>
    <t>TJX</t>
  </si>
  <si>
    <t>Price</t>
  </si>
  <si>
    <t>Shares</t>
  </si>
  <si>
    <t>MC</t>
  </si>
  <si>
    <t>Cash</t>
  </si>
  <si>
    <t>Debt</t>
  </si>
  <si>
    <t>Net Cash</t>
  </si>
  <si>
    <t>EV</t>
  </si>
  <si>
    <t>Time last checked</t>
  </si>
  <si>
    <t>Today</t>
  </si>
  <si>
    <t>Earnings</t>
  </si>
  <si>
    <t>Revenue</t>
  </si>
  <si>
    <t>Q118</t>
  </si>
  <si>
    <t>Cost of sales</t>
  </si>
  <si>
    <t>Gross profit</t>
  </si>
  <si>
    <t>SG&amp;A</t>
  </si>
  <si>
    <t>Operating profit</t>
  </si>
  <si>
    <t>Net interest expense</t>
  </si>
  <si>
    <t>Pretax profit</t>
  </si>
  <si>
    <t>Taxes</t>
  </si>
  <si>
    <t>Net profit</t>
  </si>
  <si>
    <t>EPS</t>
  </si>
  <si>
    <t>Q218</t>
  </si>
  <si>
    <t>Q318</t>
  </si>
  <si>
    <t>Q418</t>
  </si>
  <si>
    <t>Q119</t>
  </si>
  <si>
    <t>Q219</t>
  </si>
  <si>
    <t>Q319</t>
  </si>
  <si>
    <t>Q419</t>
  </si>
  <si>
    <t>Q120</t>
  </si>
  <si>
    <t>Q220</t>
  </si>
  <si>
    <t>Q320</t>
  </si>
  <si>
    <t>Q420</t>
  </si>
  <si>
    <t>Q117</t>
  </si>
  <si>
    <t>Q217</t>
  </si>
  <si>
    <t>Q317</t>
  </si>
  <si>
    <t>Q417</t>
  </si>
  <si>
    <t>Gross Margin</t>
  </si>
  <si>
    <t>Revenue y/y</t>
  </si>
  <si>
    <t>Operating Margin</t>
  </si>
  <si>
    <t>SG&amp;A y/y</t>
  </si>
  <si>
    <t>Maturity</t>
  </si>
  <si>
    <t>Discount rate</t>
  </si>
  <si>
    <t>NPV</t>
  </si>
  <si>
    <t>Value</t>
  </si>
  <si>
    <t>Net cash</t>
  </si>
  <si>
    <t>Per share</t>
  </si>
  <si>
    <t>Current price</t>
  </si>
  <si>
    <t>Variance</t>
  </si>
  <si>
    <t>Consensus</t>
  </si>
  <si>
    <t>Q121</t>
  </si>
  <si>
    <t>Q221</t>
  </si>
  <si>
    <t>Q321</t>
  </si>
  <si>
    <t>Q421</t>
  </si>
  <si>
    <t>Net Margin</t>
  </si>
  <si>
    <t>Q424</t>
  </si>
  <si>
    <t>Q122</t>
  </si>
  <si>
    <t>Q222</t>
  </si>
  <si>
    <t>Q322</t>
  </si>
  <si>
    <t>Q422</t>
  </si>
  <si>
    <t>Q123</t>
  </si>
  <si>
    <t>Q223</t>
  </si>
  <si>
    <t>Q323</t>
  </si>
  <si>
    <t>Q423</t>
  </si>
  <si>
    <t>Q124</t>
  </si>
  <si>
    <t>Q224</t>
  </si>
  <si>
    <t>Q324</t>
  </si>
  <si>
    <t>Q125</t>
  </si>
  <si>
    <t>Q225</t>
  </si>
  <si>
    <t>Q325</t>
  </si>
  <si>
    <t>Q425</t>
  </si>
  <si>
    <t>Overvalued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</si>
</sst>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/>
    </xf>
    <xf numFmtId="14" fontId="2" fillId="0" borderId="0" xfId="0" applyNumberFormat="1" applyFont="1" applyAlignment="1">
      <alignment horizontal="right"/>
    </xf>
    <xf numFmtId="3" fontId="0" fillId="0" borderId="0" xfId="0" applyNumberFormat="1"/>
    <xf numFmtId="0" fontId="0" fillId="0" borderId="0" xfId="0" applyAlignment="1">
      <alignment horizontal="right"/>
    </xf>
    <xf numFmtId="14" fontId="0" fillId="0" borderId="0" xfId="0" applyNumberFormat="1"/>
    <xf numFmtId="4" fontId="1" fillId="0" borderId="0" xfId="0" applyNumberFormat="1" applyFont="1"/>
    <xf numFmtId="3" fontId="1" fillId="0" borderId="0" xfId="0" applyNumberFormat="1" applyFont="1"/>
    <xf numFmtId="9" fontId="0" fillId="0" borderId="0" xfId="0" applyNumberFormat="1"/>
    <xf numFmtId="9" fontId="1" fillId="0" borderId="0" xfId="0" applyNumberFormat="1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22860</xdr:colOff>
      <xdr:row>0</xdr:row>
      <xdr:rowOff>0</xdr:rowOff>
    </xdr:from>
    <xdr:to>
      <xdr:col>18</xdr:col>
      <xdr:colOff>22860</xdr:colOff>
      <xdr:row>31</xdr:row>
      <xdr:rowOff>160020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6AEC64E8-8DC1-42EF-9BF0-53051D737F82}"/>
            </a:ext>
          </a:extLst>
        </xdr:cNvPr>
        <xdr:cNvCxnSpPr/>
      </xdr:nvCxnSpPr>
      <xdr:spPr>
        <a:xfrm>
          <a:off x="13449300" y="0"/>
          <a:ext cx="0" cy="58293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15240</xdr:colOff>
      <xdr:row>0</xdr:row>
      <xdr:rowOff>0</xdr:rowOff>
    </xdr:from>
    <xdr:to>
      <xdr:col>48</xdr:col>
      <xdr:colOff>15240</xdr:colOff>
      <xdr:row>33</xdr:row>
      <xdr:rowOff>76200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6BBAE769-D930-441C-8E3B-BFD0228D9253}"/>
            </a:ext>
          </a:extLst>
        </xdr:cNvPr>
        <xdr:cNvCxnSpPr/>
      </xdr:nvCxnSpPr>
      <xdr:spPr>
        <a:xfrm>
          <a:off x="35044380" y="0"/>
          <a:ext cx="0" cy="611124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30480</xdr:colOff>
      <xdr:row>0</xdr:row>
      <xdr:rowOff>15240</xdr:rowOff>
    </xdr:from>
    <xdr:to>
      <xdr:col>34</xdr:col>
      <xdr:colOff>30480</xdr:colOff>
      <xdr:row>32</xdr:row>
      <xdr:rowOff>30480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CF4C9147-9596-F471-C86E-8DD38253EF4D}"/>
            </a:ext>
          </a:extLst>
        </xdr:cNvPr>
        <xdr:cNvCxnSpPr/>
      </xdr:nvCxnSpPr>
      <xdr:spPr>
        <a:xfrm>
          <a:off x="25039320" y="15240"/>
          <a:ext cx="0" cy="58674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C0E80-52E5-45BA-A6BA-840905D99537}">
  <dimension ref="B2:G9"/>
  <sheetViews>
    <sheetView workbookViewId="0">
      <selection activeCell="D4" sqref="D4"/>
    </sheetView>
  </sheetViews>
  <sheetFormatPr defaultRowHeight="14.4" x14ac:dyDescent="0.3"/>
  <cols>
    <col min="5" max="7" width="15.77734375" style="2" customWidth="1"/>
  </cols>
  <sheetData>
    <row r="2" spans="2:7" x14ac:dyDescent="0.3">
      <c r="E2" s="2" t="s">
        <v>8</v>
      </c>
      <c r="F2" s="2" t="s">
        <v>9</v>
      </c>
      <c r="G2" s="2" t="s">
        <v>10</v>
      </c>
    </row>
    <row r="3" spans="2:7" x14ac:dyDescent="0.3">
      <c r="B3" s="1" t="s">
        <v>0</v>
      </c>
      <c r="C3" t="s">
        <v>1</v>
      </c>
      <c r="D3" s="11">
        <v>126.5</v>
      </c>
      <c r="E3" s="3">
        <v>45772</v>
      </c>
      <c r="F3" s="3">
        <f ca="1">TODAY()</f>
        <v>45773</v>
      </c>
      <c r="G3" s="3">
        <v>45798</v>
      </c>
    </row>
    <row r="4" spans="2:7" x14ac:dyDescent="0.3">
      <c r="C4" t="s">
        <v>2</v>
      </c>
      <c r="D4" s="4">
        <f>1117.1</f>
        <v>1117.0999999999999</v>
      </c>
      <c r="E4" s="2" t="s">
        <v>55</v>
      </c>
    </row>
    <row r="5" spans="2:7" x14ac:dyDescent="0.3">
      <c r="C5" t="s">
        <v>3</v>
      </c>
      <c r="D5" s="4">
        <f>D4*D3</f>
        <v>141313.15</v>
      </c>
    </row>
    <row r="6" spans="2:7" x14ac:dyDescent="0.3">
      <c r="C6" t="s">
        <v>4</v>
      </c>
      <c r="D6" s="4">
        <f>5335</f>
        <v>5335</v>
      </c>
      <c r="E6" s="2" t="s">
        <v>55</v>
      </c>
    </row>
    <row r="7" spans="2:7" x14ac:dyDescent="0.3">
      <c r="C7" t="s">
        <v>5</v>
      </c>
      <c r="D7" s="4">
        <f>2866</f>
        <v>2866</v>
      </c>
      <c r="E7" s="2" t="s">
        <v>55</v>
      </c>
    </row>
    <row r="8" spans="2:7" x14ac:dyDescent="0.3">
      <c r="C8" t="s">
        <v>6</v>
      </c>
      <c r="D8" s="4">
        <f>D6-D7</f>
        <v>2469</v>
      </c>
    </row>
    <row r="9" spans="2:7" x14ac:dyDescent="0.3">
      <c r="C9" t="s">
        <v>7</v>
      </c>
      <c r="D9" s="4">
        <f>D5-D8</f>
        <v>138844.15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C201F-21F2-435A-955C-13AF54F943E3}">
  <dimension ref="B1:FJ25"/>
  <sheetViews>
    <sheetView tabSelected="1" workbookViewId="0">
      <pane xSplit="2" ySplit="2" topLeftCell="AM3" activePane="bottomRight" state="frozen"/>
      <selection pane="topRight" activeCell="C1" sqref="C1"/>
      <selection pane="bottomLeft" activeCell="A3" sqref="A3"/>
      <selection pane="bottomRight" activeCell="AO3" sqref="AO3"/>
    </sheetView>
  </sheetViews>
  <sheetFormatPr defaultRowHeight="14.4" x14ac:dyDescent="0.3"/>
  <cols>
    <col min="2" max="2" width="18" bestFit="1" customWidth="1"/>
    <col min="3" max="39" width="10.5546875" customWidth="1"/>
    <col min="41" max="59" width="10.5546875" bestFit="1" customWidth="1"/>
    <col min="61" max="61" width="11.88671875" bestFit="1" customWidth="1"/>
    <col min="62" max="62" width="16.21875" bestFit="1" customWidth="1"/>
  </cols>
  <sheetData>
    <row r="1" spans="2:166" x14ac:dyDescent="0.3">
      <c r="C1" s="6">
        <v>42855</v>
      </c>
      <c r="D1" s="6">
        <v>42947</v>
      </c>
      <c r="E1" s="6">
        <v>43039</v>
      </c>
      <c r="F1" s="6">
        <v>43131</v>
      </c>
      <c r="G1" s="6">
        <v>43220</v>
      </c>
      <c r="H1" s="6">
        <v>43312</v>
      </c>
      <c r="I1" s="6">
        <v>43404</v>
      </c>
      <c r="J1" s="6">
        <v>43496</v>
      </c>
      <c r="K1" s="6">
        <v>43585</v>
      </c>
      <c r="L1" s="6">
        <v>43677</v>
      </c>
      <c r="M1" s="6">
        <v>43769</v>
      </c>
      <c r="N1" s="6">
        <v>43861</v>
      </c>
      <c r="O1" s="6">
        <v>43951</v>
      </c>
      <c r="P1" s="6">
        <v>44043</v>
      </c>
      <c r="Q1" s="6">
        <v>44135</v>
      </c>
      <c r="R1" s="6">
        <v>44227</v>
      </c>
      <c r="S1" s="6">
        <v>44316</v>
      </c>
      <c r="T1" s="6">
        <v>44408</v>
      </c>
      <c r="U1" s="6">
        <v>44500</v>
      </c>
      <c r="V1" s="6">
        <v>44592</v>
      </c>
      <c r="W1" s="6">
        <v>44681</v>
      </c>
      <c r="X1" s="6">
        <v>44773</v>
      </c>
      <c r="Y1" s="6">
        <v>44865</v>
      </c>
      <c r="Z1" s="6">
        <v>44957</v>
      </c>
      <c r="AA1" s="6">
        <v>45046</v>
      </c>
      <c r="AB1" s="6">
        <v>45138</v>
      </c>
      <c r="AC1" s="6">
        <v>45230</v>
      </c>
      <c r="AD1" s="6">
        <v>45322</v>
      </c>
      <c r="AE1" s="6">
        <v>45412</v>
      </c>
      <c r="AF1" s="6">
        <v>45504</v>
      </c>
      <c r="AG1" s="6">
        <v>45596</v>
      </c>
      <c r="AH1" s="6">
        <v>45688</v>
      </c>
      <c r="AI1" s="6">
        <v>45777</v>
      </c>
      <c r="AJ1" s="6">
        <v>45869</v>
      </c>
      <c r="AK1" s="6">
        <v>45961</v>
      </c>
      <c r="AL1" s="6">
        <v>46053</v>
      </c>
      <c r="AM1" s="6"/>
      <c r="AO1" s="6">
        <v>43131</v>
      </c>
      <c r="AP1" s="6">
        <v>43496</v>
      </c>
      <c r="AQ1" s="6">
        <v>43861</v>
      </c>
      <c r="AR1" s="6">
        <v>44227</v>
      </c>
      <c r="AS1" s="6">
        <v>44592</v>
      </c>
      <c r="AT1" s="6">
        <v>44957</v>
      </c>
      <c r="AU1" s="6">
        <v>45322</v>
      </c>
      <c r="AV1" s="6">
        <v>45688</v>
      </c>
      <c r="AW1" s="6">
        <v>46053</v>
      </c>
      <c r="AX1" s="6">
        <v>46418</v>
      </c>
      <c r="AY1" s="6">
        <v>46783</v>
      </c>
      <c r="AZ1" s="6">
        <v>47149</v>
      </c>
      <c r="BA1" s="6">
        <v>47514</v>
      </c>
      <c r="BB1" s="6">
        <v>47879</v>
      </c>
      <c r="BC1" s="6">
        <v>48244</v>
      </c>
      <c r="BD1" s="6">
        <v>48610</v>
      </c>
      <c r="BE1" s="6">
        <v>48975</v>
      </c>
      <c r="BF1" s="6">
        <v>49340</v>
      </c>
      <c r="BG1" s="6">
        <v>49705</v>
      </c>
    </row>
    <row r="2" spans="2:166" x14ac:dyDescent="0.3">
      <c r="C2" s="5" t="s">
        <v>33</v>
      </c>
      <c r="D2" s="5" t="s">
        <v>34</v>
      </c>
      <c r="E2" s="5" t="s">
        <v>35</v>
      </c>
      <c r="F2" s="5" t="s">
        <v>36</v>
      </c>
      <c r="G2" s="5" t="s">
        <v>12</v>
      </c>
      <c r="H2" s="5" t="s">
        <v>22</v>
      </c>
      <c r="I2" s="5" t="s">
        <v>23</v>
      </c>
      <c r="J2" s="5" t="s">
        <v>24</v>
      </c>
      <c r="K2" s="5" t="s">
        <v>25</v>
      </c>
      <c r="L2" s="5" t="s">
        <v>26</v>
      </c>
      <c r="M2" s="5" t="s">
        <v>27</v>
      </c>
      <c r="N2" s="5" t="s">
        <v>28</v>
      </c>
      <c r="O2" s="5" t="s">
        <v>29</v>
      </c>
      <c r="P2" s="5" t="s">
        <v>30</v>
      </c>
      <c r="Q2" s="5" t="s">
        <v>31</v>
      </c>
      <c r="R2" s="5" t="s">
        <v>32</v>
      </c>
      <c r="S2" s="5" t="s">
        <v>50</v>
      </c>
      <c r="T2" s="5" t="s">
        <v>51</v>
      </c>
      <c r="U2" s="5" t="s">
        <v>52</v>
      </c>
      <c r="V2" s="5" t="s">
        <v>53</v>
      </c>
      <c r="W2" s="5" t="s">
        <v>56</v>
      </c>
      <c r="X2" s="5" t="s">
        <v>57</v>
      </c>
      <c r="Y2" s="5" t="s">
        <v>58</v>
      </c>
      <c r="Z2" s="5" t="s">
        <v>59</v>
      </c>
      <c r="AA2" s="5" t="s">
        <v>60</v>
      </c>
      <c r="AB2" s="5" t="s">
        <v>61</v>
      </c>
      <c r="AC2" s="5" t="s">
        <v>62</v>
      </c>
      <c r="AD2" s="5" t="s">
        <v>63</v>
      </c>
      <c r="AE2" s="5" t="s">
        <v>64</v>
      </c>
      <c r="AF2" s="5" t="s">
        <v>65</v>
      </c>
      <c r="AG2" s="5" t="s">
        <v>66</v>
      </c>
      <c r="AH2" s="5" t="s">
        <v>55</v>
      </c>
      <c r="AI2" s="5" t="s">
        <v>67</v>
      </c>
      <c r="AJ2" s="5" t="s">
        <v>68</v>
      </c>
      <c r="AK2" s="5" t="s">
        <v>69</v>
      </c>
      <c r="AL2" s="5" t="s">
        <v>70</v>
      </c>
      <c r="AM2" s="5"/>
      <c r="AO2">
        <v>2017</v>
      </c>
      <c r="AP2">
        <v>2018</v>
      </c>
      <c r="AQ2">
        <v>2019</v>
      </c>
      <c r="AR2">
        <v>2020</v>
      </c>
      <c r="AS2">
        <v>2021</v>
      </c>
      <c r="AT2">
        <v>2022</v>
      </c>
      <c r="AU2">
        <v>2023</v>
      </c>
      <c r="AV2">
        <v>2024</v>
      </c>
      <c r="AW2">
        <v>2025</v>
      </c>
      <c r="AX2">
        <v>2026</v>
      </c>
      <c r="AY2">
        <v>2027</v>
      </c>
      <c r="AZ2">
        <v>2028</v>
      </c>
      <c r="BA2">
        <v>2029</v>
      </c>
      <c r="BB2">
        <v>2030</v>
      </c>
      <c r="BC2">
        <v>2031</v>
      </c>
      <c r="BD2">
        <v>2032</v>
      </c>
      <c r="BE2">
        <v>2033</v>
      </c>
      <c r="BF2">
        <v>2034</v>
      </c>
      <c r="BG2">
        <v>2035</v>
      </c>
    </row>
    <row r="3" spans="2:166" s="1" customFormat="1" x14ac:dyDescent="0.3">
      <c r="B3" s="1" t="s">
        <v>11</v>
      </c>
      <c r="C3" s="8">
        <v>7784</v>
      </c>
      <c r="D3" s="8">
        <v>8357.7000000000007</v>
      </c>
      <c r="E3" s="8">
        <v>8762.2000000000007</v>
      </c>
      <c r="F3" s="8">
        <v>10960.7</v>
      </c>
      <c r="G3" s="8">
        <v>8688.7000000000007</v>
      </c>
      <c r="H3" s="8">
        <v>9331.1</v>
      </c>
      <c r="I3" s="8">
        <v>9825.7999999999993</v>
      </c>
      <c r="J3" s="8">
        <v>11127.3</v>
      </c>
      <c r="K3" s="8">
        <v>9277.6</v>
      </c>
      <c r="L3" s="8">
        <v>9781.6</v>
      </c>
      <c r="M3" s="8">
        <v>10451.299999999999</v>
      </c>
      <c r="N3" s="8">
        <v>12206.5</v>
      </c>
      <c r="O3" s="8">
        <v>4408.8999999999996</v>
      </c>
      <c r="P3" s="8">
        <v>6667.6</v>
      </c>
      <c r="Q3" s="8">
        <v>10117.299999999999</v>
      </c>
      <c r="R3" s="8">
        <v>10943.2</v>
      </c>
      <c r="S3" s="8">
        <v>10086.700000000001</v>
      </c>
      <c r="T3" s="8">
        <f>L3*1.07</f>
        <v>10466.312000000002</v>
      </c>
      <c r="U3" s="8">
        <f>Q3*1.07</f>
        <v>10825.511</v>
      </c>
      <c r="V3" s="8">
        <f>R3*1.04</f>
        <v>11380.928000000002</v>
      </c>
      <c r="W3" s="8"/>
      <c r="X3" s="8"/>
      <c r="Y3" s="8"/>
      <c r="Z3" s="8"/>
      <c r="AA3" s="8">
        <v>11783</v>
      </c>
      <c r="AB3" s="8">
        <v>12758</v>
      </c>
      <c r="AC3" s="8">
        <v>13265</v>
      </c>
      <c r="AD3" s="8">
        <f>AU3-AC3-AB3-AA3</f>
        <v>16411</v>
      </c>
      <c r="AE3" s="8">
        <v>12479</v>
      </c>
      <c r="AF3" s="8">
        <v>13468</v>
      </c>
      <c r="AG3" s="8">
        <v>14063</v>
      </c>
      <c r="AH3" s="8">
        <f>AV3-AG3-AF3-AE3</f>
        <v>16350</v>
      </c>
      <c r="AI3" s="8"/>
      <c r="AJ3" s="8"/>
      <c r="AK3" s="8"/>
      <c r="AL3" s="8"/>
      <c r="AM3" s="8"/>
      <c r="AO3" s="8">
        <f>SUM(C3:F3)</f>
        <v>35864.600000000006</v>
      </c>
      <c r="AP3" s="8">
        <f>SUM(G3:J3)</f>
        <v>38972.9</v>
      </c>
      <c r="AQ3" s="8">
        <f>SUM(K3:N3)</f>
        <v>41717</v>
      </c>
      <c r="AR3" s="8">
        <f>SUM(O3:R3)</f>
        <v>32137</v>
      </c>
      <c r="AS3" s="8">
        <v>48550</v>
      </c>
      <c r="AT3" s="8">
        <v>49936</v>
      </c>
      <c r="AU3" s="8">
        <v>54217</v>
      </c>
      <c r="AV3" s="8">
        <v>56360</v>
      </c>
      <c r="AW3" s="8">
        <f>AV3*1.02</f>
        <v>57487.200000000004</v>
      </c>
      <c r="AX3" s="8">
        <f>AW3*1.02</f>
        <v>58636.944000000003</v>
      </c>
      <c r="AY3" s="8">
        <f t="shared" ref="AY3:BB3" si="0">AX3*1.02</f>
        <v>59809.682880000008</v>
      </c>
      <c r="AZ3" s="8">
        <f t="shared" si="0"/>
        <v>61005.876537600008</v>
      </c>
      <c r="BA3" s="8">
        <f t="shared" si="0"/>
        <v>62225.994068352011</v>
      </c>
      <c r="BB3" s="8">
        <f t="shared" si="0"/>
        <v>63470.513949719054</v>
      </c>
      <c r="BC3" s="8">
        <f>BB3*1.01</f>
        <v>64105.219089216247</v>
      </c>
      <c r="BD3" s="8">
        <f t="shared" ref="BD3:BG3" si="1">BC3*1.01</f>
        <v>64746.271280108413</v>
      </c>
      <c r="BE3" s="8">
        <f t="shared" si="1"/>
        <v>65393.733992909496</v>
      </c>
      <c r="BF3" s="8">
        <f t="shared" si="1"/>
        <v>66047.671332838596</v>
      </c>
      <c r="BG3" s="8">
        <f t="shared" si="1"/>
        <v>66708.148046166985</v>
      </c>
    </row>
    <row r="4" spans="2:166" x14ac:dyDescent="0.3">
      <c r="B4" t="s">
        <v>13</v>
      </c>
      <c r="C4" s="4">
        <v>5530.1</v>
      </c>
      <c r="D4" s="4">
        <v>5972.7</v>
      </c>
      <c r="E4" s="4">
        <v>6150</v>
      </c>
      <c r="F4" s="4">
        <v>7849.4</v>
      </c>
      <c r="G4" s="4">
        <v>6178.2</v>
      </c>
      <c r="H4" s="4">
        <v>6635.8</v>
      </c>
      <c r="I4" s="4">
        <v>6983.5</v>
      </c>
      <c r="J4" s="4">
        <v>8033.6</v>
      </c>
      <c r="K4" s="4">
        <v>6637.9</v>
      </c>
      <c r="L4" s="4">
        <v>7026.1</v>
      </c>
      <c r="M4" s="4">
        <v>7440</v>
      </c>
      <c r="N4" s="4">
        <v>8741.7999999999993</v>
      </c>
      <c r="O4" s="4">
        <v>4414.7</v>
      </c>
      <c r="P4" s="4">
        <v>5174.5</v>
      </c>
      <c r="Q4" s="4">
        <v>7062.3</v>
      </c>
      <c r="R4" s="4">
        <v>7882.6</v>
      </c>
      <c r="S4" s="4">
        <v>7255.6</v>
      </c>
      <c r="T4" s="4">
        <f t="shared" ref="T4:V4" si="2">T3-T5</f>
        <v>7535.7446400000008</v>
      </c>
      <c r="U4" s="4">
        <f t="shared" si="2"/>
        <v>7686.1128100000005</v>
      </c>
      <c r="V4" s="4">
        <f t="shared" si="2"/>
        <v>8080.458880000002</v>
      </c>
      <c r="W4" s="4"/>
      <c r="X4" s="4"/>
      <c r="Y4" s="4"/>
      <c r="Z4" s="4"/>
      <c r="AA4" s="4">
        <v>8374</v>
      </c>
      <c r="AB4" s="4">
        <v>8910</v>
      </c>
      <c r="AC4" s="4">
        <v>9139</v>
      </c>
      <c r="AD4" s="4">
        <f>AU4-AC4-AB4-AA4</f>
        <v>11528</v>
      </c>
      <c r="AE4" s="4">
        <v>8739</v>
      </c>
      <c r="AF4" s="4">
        <v>9380</v>
      </c>
      <c r="AG4" s="4">
        <v>9622</v>
      </c>
      <c r="AH4" s="4">
        <f>AV4-AG4-AF4-AE4</f>
        <v>11371</v>
      </c>
      <c r="AI4" s="4"/>
      <c r="AJ4" s="4"/>
      <c r="AK4" s="4"/>
      <c r="AL4" s="4"/>
      <c r="AM4" s="4"/>
      <c r="AO4" s="4">
        <f>SUM(C4:F4)</f>
        <v>25502.199999999997</v>
      </c>
      <c r="AP4" s="4">
        <f>SUM(G4:J4)</f>
        <v>27831.1</v>
      </c>
      <c r="AQ4" s="4">
        <f>SUM(K4:N4)</f>
        <v>29845.8</v>
      </c>
      <c r="AR4" s="4">
        <f>SUM(O4:R4)</f>
        <v>24534.1</v>
      </c>
      <c r="AS4" s="4">
        <v>34714</v>
      </c>
      <c r="AT4" s="4">
        <v>36149</v>
      </c>
      <c r="AU4" s="4">
        <v>37951</v>
      </c>
      <c r="AV4" s="4">
        <v>39112</v>
      </c>
      <c r="AW4" s="4">
        <f t="shared" ref="AW4:BB4" si="3">AW3-AW5</f>
        <v>39091.296000000002</v>
      </c>
      <c r="AX4" s="4">
        <f t="shared" si="3"/>
        <v>39873.121920000005</v>
      </c>
      <c r="AY4" s="4">
        <f t="shared" si="3"/>
        <v>40670.584358400003</v>
      </c>
      <c r="AZ4" s="4">
        <f t="shared" si="3"/>
        <v>41483.996045568005</v>
      </c>
      <c r="BA4" s="4">
        <f t="shared" si="3"/>
        <v>42313.675966479364</v>
      </c>
      <c r="BB4" s="4">
        <f t="shared" si="3"/>
        <v>43159.94948580896</v>
      </c>
      <c r="BC4" s="4">
        <f t="shared" ref="BC4:BG4" si="4">BC3-BC5</f>
        <v>43591.548980667052</v>
      </c>
      <c r="BD4" s="4">
        <f t="shared" si="4"/>
        <v>44027.464470473715</v>
      </c>
      <c r="BE4" s="4">
        <f t="shared" si="4"/>
        <v>44467.739115178454</v>
      </c>
      <c r="BF4" s="4">
        <f t="shared" si="4"/>
        <v>44912.41650633025</v>
      </c>
      <c r="BG4" s="4">
        <f t="shared" si="4"/>
        <v>45361.540671393552</v>
      </c>
    </row>
    <row r="5" spans="2:166" s="1" customFormat="1" x14ac:dyDescent="0.3">
      <c r="B5" s="1" t="s">
        <v>14</v>
      </c>
      <c r="C5" s="8">
        <f t="shared" ref="C5:S5" si="5">C3-C4</f>
        <v>2253.8999999999996</v>
      </c>
      <c r="D5" s="8">
        <f t="shared" si="5"/>
        <v>2385.0000000000009</v>
      </c>
      <c r="E5" s="8">
        <f t="shared" si="5"/>
        <v>2612.2000000000007</v>
      </c>
      <c r="F5" s="8">
        <f t="shared" si="5"/>
        <v>3111.3000000000011</v>
      </c>
      <c r="G5" s="8">
        <f t="shared" si="5"/>
        <v>2510.5000000000009</v>
      </c>
      <c r="H5" s="8">
        <f t="shared" si="5"/>
        <v>2695.3</v>
      </c>
      <c r="I5" s="8">
        <f t="shared" si="5"/>
        <v>2842.2999999999993</v>
      </c>
      <c r="J5" s="8">
        <f t="shared" si="5"/>
        <v>3093.6999999999989</v>
      </c>
      <c r="K5" s="8">
        <f t="shared" si="5"/>
        <v>2639.7000000000007</v>
      </c>
      <c r="L5" s="8">
        <f t="shared" si="5"/>
        <v>2755.5</v>
      </c>
      <c r="M5" s="8">
        <f t="shared" si="5"/>
        <v>3011.2999999999993</v>
      </c>
      <c r="N5" s="8">
        <f t="shared" si="5"/>
        <v>3464.7000000000007</v>
      </c>
      <c r="O5" s="8">
        <f t="shared" si="5"/>
        <v>-5.8000000000001819</v>
      </c>
      <c r="P5" s="8">
        <f t="shared" si="5"/>
        <v>1493.1000000000004</v>
      </c>
      <c r="Q5" s="8">
        <f t="shared" si="5"/>
        <v>3054.9999999999991</v>
      </c>
      <c r="R5" s="8">
        <f t="shared" si="5"/>
        <v>3060.6000000000004</v>
      </c>
      <c r="S5" s="8">
        <f t="shared" si="5"/>
        <v>2831.1000000000004</v>
      </c>
      <c r="T5" s="8">
        <f>T3*0.28</f>
        <v>2930.5673600000009</v>
      </c>
      <c r="U5" s="8">
        <f t="shared" ref="U5:V5" si="6">U3*0.29</f>
        <v>3139.3981899999999</v>
      </c>
      <c r="V5" s="8">
        <f t="shared" si="6"/>
        <v>3300.4691200000002</v>
      </c>
      <c r="W5" s="8"/>
      <c r="X5" s="8"/>
      <c r="Y5" s="8"/>
      <c r="Z5" s="8"/>
      <c r="AA5" s="8">
        <f t="shared" ref="AA5:AB5" si="7">AA3-AA4</f>
        <v>3409</v>
      </c>
      <c r="AB5" s="8">
        <f t="shared" si="7"/>
        <v>3848</v>
      </c>
      <c r="AC5" s="8">
        <f t="shared" ref="AC5:AD5" si="8">AC3-AC4</f>
        <v>4126</v>
      </c>
      <c r="AD5" s="8">
        <f t="shared" si="8"/>
        <v>4883</v>
      </c>
      <c r="AE5" s="8">
        <f t="shared" ref="AE5" si="9">AE3-AE4</f>
        <v>3740</v>
      </c>
      <c r="AF5" s="8">
        <f t="shared" ref="AF5" si="10">AF3-AF4</f>
        <v>4088</v>
      </c>
      <c r="AG5" s="8">
        <f t="shared" ref="AG5:AH5" si="11">AG3-AG4</f>
        <v>4441</v>
      </c>
      <c r="AH5" s="8">
        <f t="shared" si="11"/>
        <v>4979</v>
      </c>
      <c r="AI5" s="8"/>
      <c r="AJ5" s="8"/>
      <c r="AK5" s="8"/>
      <c r="AL5" s="8"/>
      <c r="AM5" s="8"/>
      <c r="AO5" s="8">
        <f t="shared" ref="AO5:AV5" si="12">AO3-AO4</f>
        <v>10362.400000000009</v>
      </c>
      <c r="AP5" s="8">
        <f t="shared" si="12"/>
        <v>11141.800000000003</v>
      </c>
      <c r="AQ5" s="8">
        <f t="shared" si="12"/>
        <v>11871.2</v>
      </c>
      <c r="AR5" s="8">
        <f t="shared" si="12"/>
        <v>7602.9000000000015</v>
      </c>
      <c r="AS5" s="8">
        <f t="shared" si="12"/>
        <v>13836</v>
      </c>
      <c r="AT5" s="8">
        <f t="shared" si="12"/>
        <v>13787</v>
      </c>
      <c r="AU5" s="8">
        <f t="shared" si="12"/>
        <v>16266</v>
      </c>
      <c r="AV5" s="8">
        <f t="shared" si="12"/>
        <v>17248</v>
      </c>
      <c r="AW5" s="8">
        <f>AW3*0.32</f>
        <v>18395.904000000002</v>
      </c>
      <c r="AX5" s="8">
        <f>AX3*0.32</f>
        <v>18763.822080000002</v>
      </c>
      <c r="AY5" s="8">
        <f t="shared" ref="AY5:BG5" si="13">AY3*0.32</f>
        <v>19139.098521600004</v>
      </c>
      <c r="AZ5" s="8">
        <f t="shared" si="13"/>
        <v>19521.880492032004</v>
      </c>
      <c r="BA5" s="8">
        <f t="shared" si="13"/>
        <v>19912.318101872643</v>
      </c>
      <c r="BB5" s="8">
        <f t="shared" si="13"/>
        <v>20310.564463910097</v>
      </c>
      <c r="BC5" s="8">
        <f t="shared" si="13"/>
        <v>20513.670108549199</v>
      </c>
      <c r="BD5" s="8">
        <f t="shared" si="13"/>
        <v>20718.806809634694</v>
      </c>
      <c r="BE5" s="8">
        <f t="shared" si="13"/>
        <v>20925.994877731038</v>
      </c>
      <c r="BF5" s="8">
        <f t="shared" si="13"/>
        <v>21135.25482650835</v>
      </c>
      <c r="BG5" s="8">
        <f t="shared" si="13"/>
        <v>21346.607374773437</v>
      </c>
    </row>
    <row r="6" spans="2:166" x14ac:dyDescent="0.3">
      <c r="B6" t="s">
        <v>15</v>
      </c>
      <c r="C6" s="4">
        <v>1411.6</v>
      </c>
      <c r="D6" s="4">
        <v>1483.6</v>
      </c>
      <c r="E6" s="4">
        <v>1584.2</v>
      </c>
      <c r="F6" s="4">
        <f>1895.6+99.3</f>
        <v>1994.8999999999999</v>
      </c>
      <c r="G6" s="4">
        <v>1550.8</v>
      </c>
      <c r="H6" s="4">
        <v>1699.7</v>
      </c>
      <c r="I6" s="4">
        <f>1756.4+36.1</f>
        <v>1792.5</v>
      </c>
      <c r="J6" s="4">
        <v>1916.6</v>
      </c>
      <c r="K6" s="4">
        <v>1702.4</v>
      </c>
      <c r="L6" s="4">
        <v>1731.3</v>
      </c>
      <c r="M6" s="4">
        <v>1885.9</v>
      </c>
      <c r="N6" s="4">
        <v>2135.3000000000002</v>
      </c>
      <c r="O6" s="4">
        <v>1313.9</v>
      </c>
      <c r="P6" s="4">
        <v>1527.8</v>
      </c>
      <c r="Q6" s="4">
        <v>1986.1</v>
      </c>
      <c r="R6" s="4">
        <f>2193.1+312.2</f>
        <v>2505.2999999999997</v>
      </c>
      <c r="S6" s="4">
        <v>2065</v>
      </c>
      <c r="T6" s="4">
        <f>L6*1.2</f>
        <v>2077.56</v>
      </c>
      <c r="U6" s="4">
        <f>Q6*1.05</f>
        <v>2085.4050000000002</v>
      </c>
      <c r="V6" s="4">
        <f>N6*1.07</f>
        <v>2284.7710000000002</v>
      </c>
      <c r="W6" s="4"/>
      <c r="X6" s="4"/>
      <c r="Y6" s="4"/>
      <c r="Z6" s="4"/>
      <c r="AA6" s="4">
        <v>2238</v>
      </c>
      <c r="AB6" s="4">
        <v>2559</v>
      </c>
      <c r="AC6" s="4">
        <v>2578</v>
      </c>
      <c r="AD6" s="4">
        <f>AU6-AC6-AB6-AA6</f>
        <v>3094</v>
      </c>
      <c r="AE6" s="4">
        <v>2400</v>
      </c>
      <c r="AF6" s="4">
        <v>2666</v>
      </c>
      <c r="AG6" s="4">
        <v>2748</v>
      </c>
      <c r="AH6" s="4">
        <f>AV6-AG6-AF6-AE6</f>
        <v>3132</v>
      </c>
      <c r="AI6" s="4"/>
      <c r="AJ6" s="4"/>
      <c r="AK6" s="4"/>
      <c r="AL6" s="4"/>
      <c r="AM6" s="4"/>
      <c r="AO6" s="4">
        <f>SUM(C6:F6)</f>
        <v>6474.2999999999993</v>
      </c>
      <c r="AP6" s="4">
        <f>SUM(G6:J6)</f>
        <v>6959.6</v>
      </c>
      <c r="AQ6" s="4">
        <f>SUM(K6:N6)</f>
        <v>7454.9000000000005</v>
      </c>
      <c r="AR6" s="4">
        <f>SUM(O6:R6)</f>
        <v>7333.0999999999985</v>
      </c>
      <c r="AS6" s="4">
        <v>9081</v>
      </c>
      <c r="AT6" s="4">
        <v>8927</v>
      </c>
      <c r="AU6" s="4">
        <v>10469</v>
      </c>
      <c r="AV6" s="4">
        <v>10946</v>
      </c>
      <c r="AW6" s="4">
        <f>AV6*1.04</f>
        <v>11383.84</v>
      </c>
      <c r="AX6" s="4">
        <f t="shared" ref="AX6" si="14">AW6*1.03</f>
        <v>11725.3552</v>
      </c>
      <c r="AY6" s="4">
        <f>AX6*1.02</f>
        <v>11959.862304</v>
      </c>
      <c r="AZ6" s="4">
        <f>AY6*1.02</f>
        <v>12199.059550080001</v>
      </c>
      <c r="BA6" s="4">
        <f>AZ6*1.02</f>
        <v>12443.040741081601</v>
      </c>
      <c r="BB6" s="4">
        <f>BA6*1.01</f>
        <v>12567.471148492417</v>
      </c>
      <c r="BC6" s="4">
        <f t="shared" ref="BC6:BG6" si="15">BB6*1.01</f>
        <v>12693.145859977341</v>
      </c>
      <c r="BD6" s="4">
        <f t="shared" si="15"/>
        <v>12820.077318577114</v>
      </c>
      <c r="BE6" s="4">
        <f t="shared" si="15"/>
        <v>12948.278091762886</v>
      </c>
      <c r="BF6" s="4">
        <f t="shared" si="15"/>
        <v>13077.760872680516</v>
      </c>
      <c r="BG6" s="4">
        <f t="shared" si="15"/>
        <v>13208.53848140732</v>
      </c>
    </row>
    <row r="7" spans="2:166" s="1" customFormat="1" x14ac:dyDescent="0.3">
      <c r="B7" s="1" t="s">
        <v>16</v>
      </c>
      <c r="C7" s="8">
        <f t="shared" ref="C7:V7" si="16">C5-C6</f>
        <v>842.29999999999973</v>
      </c>
      <c r="D7" s="8">
        <f t="shared" si="16"/>
        <v>901.400000000001</v>
      </c>
      <c r="E7" s="8">
        <f t="shared" si="16"/>
        <v>1028.0000000000007</v>
      </c>
      <c r="F7" s="8">
        <f t="shared" si="16"/>
        <v>1116.4000000000012</v>
      </c>
      <c r="G7" s="8">
        <f t="shared" si="16"/>
        <v>959.70000000000095</v>
      </c>
      <c r="H7" s="8">
        <f t="shared" si="16"/>
        <v>995.60000000000014</v>
      </c>
      <c r="I7" s="8">
        <f t="shared" si="16"/>
        <v>1049.7999999999993</v>
      </c>
      <c r="J7" s="8">
        <f t="shared" si="16"/>
        <v>1177.099999999999</v>
      </c>
      <c r="K7" s="8">
        <f t="shared" si="16"/>
        <v>937.30000000000064</v>
      </c>
      <c r="L7" s="8">
        <f t="shared" si="16"/>
        <v>1024.2</v>
      </c>
      <c r="M7" s="8">
        <f t="shared" si="16"/>
        <v>1125.3999999999992</v>
      </c>
      <c r="N7" s="8">
        <f t="shared" si="16"/>
        <v>1329.4000000000005</v>
      </c>
      <c r="O7" s="8">
        <f t="shared" si="16"/>
        <v>-1319.7000000000003</v>
      </c>
      <c r="P7" s="8">
        <f t="shared" si="16"/>
        <v>-34.699999999999591</v>
      </c>
      <c r="Q7" s="8">
        <f t="shared" si="16"/>
        <v>1068.8999999999992</v>
      </c>
      <c r="R7" s="8">
        <f t="shared" si="16"/>
        <v>555.30000000000064</v>
      </c>
      <c r="S7" s="8">
        <f t="shared" si="16"/>
        <v>766.10000000000036</v>
      </c>
      <c r="T7" s="8">
        <f t="shared" si="16"/>
        <v>853.00736000000097</v>
      </c>
      <c r="U7" s="8">
        <f t="shared" si="16"/>
        <v>1053.9931899999997</v>
      </c>
      <c r="V7" s="8">
        <f t="shared" si="16"/>
        <v>1015.69812</v>
      </c>
      <c r="W7" s="8"/>
      <c r="X7" s="8"/>
      <c r="Y7" s="8"/>
      <c r="Z7" s="8"/>
      <c r="AA7" s="8">
        <f t="shared" ref="AA7:AB7" si="17">AA5-AA6</f>
        <v>1171</v>
      </c>
      <c r="AB7" s="8">
        <f t="shared" si="17"/>
        <v>1289</v>
      </c>
      <c r="AC7" s="8">
        <f t="shared" ref="AC7:AD7" si="18">AC5-AC6</f>
        <v>1548</v>
      </c>
      <c r="AD7" s="8">
        <f t="shared" si="18"/>
        <v>1789</v>
      </c>
      <c r="AE7" s="8">
        <f t="shared" ref="AE7" si="19">AE5-AE6</f>
        <v>1340</v>
      </c>
      <c r="AF7" s="8">
        <f t="shared" ref="AF7" si="20">AF5-AF6</f>
        <v>1422</v>
      </c>
      <c r="AG7" s="8">
        <f t="shared" ref="AG7:AH7" si="21">AG5-AG6</f>
        <v>1693</v>
      </c>
      <c r="AH7" s="8">
        <f t="shared" si="21"/>
        <v>1847</v>
      </c>
      <c r="AI7" s="8"/>
      <c r="AJ7" s="8"/>
      <c r="AK7" s="8"/>
      <c r="AL7" s="8"/>
      <c r="AM7" s="8"/>
      <c r="AO7" s="8">
        <f>AO5-AO6</f>
        <v>3888.1000000000095</v>
      </c>
      <c r="AP7" s="8">
        <f>AP5-AP6</f>
        <v>4182.2000000000025</v>
      </c>
      <c r="AQ7" s="8">
        <f>AQ5-AQ6</f>
        <v>4416.3</v>
      </c>
      <c r="AR7" s="8">
        <f>AR5-AR6</f>
        <v>269.80000000000291</v>
      </c>
      <c r="AS7" s="8">
        <f t="shared" ref="AS7:BB7" si="22">AS5-AS6</f>
        <v>4755</v>
      </c>
      <c r="AT7" s="8">
        <f t="shared" si="22"/>
        <v>4860</v>
      </c>
      <c r="AU7" s="8">
        <f t="shared" si="22"/>
        <v>5797</v>
      </c>
      <c r="AV7" s="8">
        <f t="shared" si="22"/>
        <v>6302</v>
      </c>
      <c r="AW7" s="8">
        <f t="shared" si="22"/>
        <v>7012.0640000000021</v>
      </c>
      <c r="AX7" s="8">
        <f t="shared" si="22"/>
        <v>7038.4668800000018</v>
      </c>
      <c r="AY7" s="8">
        <f t="shared" si="22"/>
        <v>7179.2362176000042</v>
      </c>
      <c r="AZ7" s="8">
        <f t="shared" si="22"/>
        <v>7322.8209419520026</v>
      </c>
      <c r="BA7" s="8">
        <f t="shared" si="22"/>
        <v>7469.2773607910422</v>
      </c>
      <c r="BB7" s="8">
        <f t="shared" si="22"/>
        <v>7743.0933154176801</v>
      </c>
      <c r="BC7" s="8">
        <f t="shared" ref="BC7:BG7" si="23">BC5-BC6</f>
        <v>7820.5242485718572</v>
      </c>
      <c r="BD7" s="8">
        <f t="shared" si="23"/>
        <v>7898.7294910575802</v>
      </c>
      <c r="BE7" s="8">
        <f t="shared" si="23"/>
        <v>7977.7167859681522</v>
      </c>
      <c r="BF7" s="8">
        <f t="shared" si="23"/>
        <v>8057.493953827834</v>
      </c>
      <c r="BG7" s="8">
        <f t="shared" si="23"/>
        <v>8138.0688933661168</v>
      </c>
    </row>
    <row r="8" spans="2:166" x14ac:dyDescent="0.3">
      <c r="B8" t="s">
        <v>17</v>
      </c>
      <c r="C8" s="4">
        <v>9.8000000000000007</v>
      </c>
      <c r="D8" s="4">
        <v>9.6999999999999993</v>
      </c>
      <c r="E8" s="4">
        <v>8</v>
      </c>
      <c r="F8" s="4">
        <v>4.0999999999999996</v>
      </c>
      <c r="G8" s="4">
        <v>4.0999999999999996</v>
      </c>
      <c r="H8" s="4">
        <v>3</v>
      </c>
      <c r="I8" s="4">
        <v>3.2</v>
      </c>
      <c r="J8" s="4">
        <v>-1.5</v>
      </c>
      <c r="K8" s="4">
        <v>0.1</v>
      </c>
      <c r="L8" s="4">
        <v>2.9</v>
      </c>
      <c r="M8" s="4">
        <v>3.3</v>
      </c>
      <c r="N8" s="4">
        <v>3.1</v>
      </c>
      <c r="O8" s="4">
        <v>23.4</v>
      </c>
      <c r="P8" s="4">
        <v>57.3</v>
      </c>
      <c r="Q8" s="4">
        <v>52.9</v>
      </c>
      <c r="R8" s="4">
        <v>47.1</v>
      </c>
      <c r="S8" s="4">
        <v>44.7</v>
      </c>
      <c r="T8" s="4">
        <f t="shared" ref="T8:V8" si="24">S8*0.9</f>
        <v>40.230000000000004</v>
      </c>
      <c r="U8" s="4">
        <f t="shared" si="24"/>
        <v>36.207000000000008</v>
      </c>
      <c r="V8" s="4">
        <f t="shared" si="24"/>
        <v>32.586300000000008</v>
      </c>
      <c r="W8" s="4"/>
      <c r="X8" s="4"/>
      <c r="Y8" s="4"/>
      <c r="Z8" s="4"/>
      <c r="AA8" s="4">
        <v>-37</v>
      </c>
      <c r="AB8" s="4">
        <v>-38</v>
      </c>
      <c r="AC8" s="4">
        <v>-41</v>
      </c>
      <c r="AD8" s="4">
        <f>AU8-AC8-AB8-AA8</f>
        <v>-54</v>
      </c>
      <c r="AE8" s="4">
        <v>-50</v>
      </c>
      <c r="AF8" s="4">
        <v>-46</v>
      </c>
      <c r="AG8" s="4">
        <v>-43</v>
      </c>
      <c r="AH8" s="4">
        <f>AV8-AG8-AF8-AE8</f>
        <v>-42</v>
      </c>
      <c r="AI8" s="4"/>
      <c r="AJ8" s="4"/>
      <c r="AK8" s="4"/>
      <c r="AL8" s="4"/>
      <c r="AM8" s="4"/>
      <c r="AO8" s="4">
        <f>SUM(C8:F8)</f>
        <v>31.6</v>
      </c>
      <c r="AP8" s="4">
        <f>SUM(G8:J8)</f>
        <v>8.8000000000000007</v>
      </c>
      <c r="AQ8" s="4">
        <f>SUM(K8:N8)</f>
        <v>9.4</v>
      </c>
      <c r="AR8" s="4">
        <f>SUM(O8:R8)</f>
        <v>180.7</v>
      </c>
      <c r="AS8" s="4">
        <f>242+115</f>
        <v>357</v>
      </c>
      <c r="AT8" s="4">
        <f>218+6</f>
        <v>224</v>
      </c>
      <c r="AU8" s="4">
        <v>-170</v>
      </c>
      <c r="AV8" s="4">
        <v>-181</v>
      </c>
      <c r="AW8" s="4">
        <f t="shared" ref="AW8" si="25">(AV8*0.8)+(-AV11*0.01)</f>
        <v>-193.44</v>
      </c>
      <c r="AX8" s="4">
        <f>(-AW11*0.01)</f>
        <v>-54.041280000000015</v>
      </c>
      <c r="AY8" s="4">
        <f t="shared" ref="AY8:BB8" si="26">(-AX11*0.01)</f>
        <v>-53.19381120000002</v>
      </c>
      <c r="AZ8" s="4">
        <f t="shared" si="26"/>
        <v>-54.243225216000027</v>
      </c>
      <c r="BA8" s="4">
        <f t="shared" si="26"/>
        <v>-55.327981253760015</v>
      </c>
      <c r="BB8" s="4">
        <f t="shared" si="26"/>
        <v>-56.434540065336023</v>
      </c>
      <c r="BC8" s="4">
        <f t="shared" ref="BC8" si="27">(-BB11*0.01)</f>
        <v>-58.496458916122627</v>
      </c>
      <c r="BD8" s="4">
        <f t="shared" ref="BD8" si="28">(-BC11*0.01)</f>
        <v>-59.092655306159848</v>
      </c>
      <c r="BE8" s="4">
        <f t="shared" ref="BE8" si="29">(-BD11*0.01)</f>
        <v>-59.683666097728057</v>
      </c>
      <c r="BF8" s="4">
        <f t="shared" ref="BF8" si="30">(-BE11*0.01)</f>
        <v>-60.280503390494104</v>
      </c>
      <c r="BG8" s="4">
        <f t="shared" ref="BG8" si="31">(-BF11*0.01)</f>
        <v>-60.883308429137458</v>
      </c>
    </row>
    <row r="9" spans="2:166" s="1" customFormat="1" x14ac:dyDescent="0.3">
      <c r="B9" s="1" t="s">
        <v>18</v>
      </c>
      <c r="C9" s="8">
        <f t="shared" ref="C9:V9" si="32">C7-C8</f>
        <v>832.49999999999977</v>
      </c>
      <c r="D9" s="8">
        <f t="shared" si="32"/>
        <v>891.70000000000095</v>
      </c>
      <c r="E9" s="8">
        <f t="shared" si="32"/>
        <v>1020.0000000000007</v>
      </c>
      <c r="F9" s="8">
        <f t="shared" si="32"/>
        <v>1112.3000000000013</v>
      </c>
      <c r="G9" s="8">
        <f t="shared" si="32"/>
        <v>955.60000000000093</v>
      </c>
      <c r="H9" s="8">
        <f t="shared" si="32"/>
        <v>992.60000000000014</v>
      </c>
      <c r="I9" s="8">
        <f t="shared" si="32"/>
        <v>1046.5999999999992</v>
      </c>
      <c r="J9" s="8">
        <f t="shared" si="32"/>
        <v>1178.599999999999</v>
      </c>
      <c r="K9" s="8">
        <f t="shared" si="32"/>
        <v>937.20000000000061</v>
      </c>
      <c r="L9" s="8">
        <f t="shared" si="32"/>
        <v>1021.3000000000001</v>
      </c>
      <c r="M9" s="8">
        <f t="shared" si="32"/>
        <v>1122.0999999999992</v>
      </c>
      <c r="N9" s="8">
        <f t="shared" si="32"/>
        <v>1326.3000000000006</v>
      </c>
      <c r="O9" s="8">
        <f t="shared" si="32"/>
        <v>-1343.1000000000004</v>
      </c>
      <c r="P9" s="8">
        <f t="shared" si="32"/>
        <v>-91.999999999999588</v>
      </c>
      <c r="Q9" s="8">
        <f t="shared" si="32"/>
        <v>1015.9999999999992</v>
      </c>
      <c r="R9" s="8">
        <f t="shared" si="32"/>
        <v>508.20000000000061</v>
      </c>
      <c r="S9" s="8">
        <f t="shared" si="32"/>
        <v>721.40000000000032</v>
      </c>
      <c r="T9" s="8">
        <f t="shared" si="32"/>
        <v>812.77736000000095</v>
      </c>
      <c r="U9" s="8">
        <f t="shared" si="32"/>
        <v>1017.7861899999997</v>
      </c>
      <c r="V9" s="8">
        <f t="shared" si="32"/>
        <v>983.11181999999997</v>
      </c>
      <c r="W9" s="8"/>
      <c r="X9" s="8"/>
      <c r="Y9" s="8"/>
      <c r="Z9" s="8"/>
      <c r="AA9" s="8">
        <f t="shared" ref="AA9:AB9" si="33">AA7-AA8</f>
        <v>1208</v>
      </c>
      <c r="AB9" s="8">
        <f t="shared" si="33"/>
        <v>1327</v>
      </c>
      <c r="AC9" s="8">
        <f t="shared" ref="AC9:AD9" si="34">AC7-AC8</f>
        <v>1589</v>
      </c>
      <c r="AD9" s="8">
        <f t="shared" si="34"/>
        <v>1843</v>
      </c>
      <c r="AE9" s="8">
        <f t="shared" ref="AE9" si="35">AE7-AE8</f>
        <v>1390</v>
      </c>
      <c r="AF9" s="8">
        <f t="shared" ref="AF9" si="36">AF7-AF8</f>
        <v>1468</v>
      </c>
      <c r="AG9" s="8">
        <f t="shared" ref="AG9:AH9" si="37">AG7-AG8</f>
        <v>1736</v>
      </c>
      <c r="AH9" s="8">
        <f t="shared" si="37"/>
        <v>1889</v>
      </c>
      <c r="AI9" s="8"/>
      <c r="AJ9" s="8"/>
      <c r="AK9" s="8"/>
      <c r="AL9" s="8"/>
      <c r="AM9" s="8"/>
      <c r="AO9" s="8">
        <f>AO7-AO8</f>
        <v>3856.5000000000095</v>
      </c>
      <c r="AP9" s="8">
        <f>AP7-AP8</f>
        <v>4173.4000000000024</v>
      </c>
      <c r="AQ9" s="8">
        <f>AQ7-AQ8</f>
        <v>4406.9000000000005</v>
      </c>
      <c r="AR9" s="8">
        <f>AR7-AR8</f>
        <v>89.100000000002922</v>
      </c>
      <c r="AS9" s="8">
        <f t="shared" ref="AS9:BB9" si="38">AS7-AS8</f>
        <v>4398</v>
      </c>
      <c r="AT9" s="8">
        <f t="shared" si="38"/>
        <v>4636</v>
      </c>
      <c r="AU9" s="8">
        <f t="shared" si="38"/>
        <v>5967</v>
      </c>
      <c r="AV9" s="8">
        <f t="shared" si="38"/>
        <v>6483</v>
      </c>
      <c r="AW9" s="8">
        <f t="shared" si="38"/>
        <v>7205.5040000000017</v>
      </c>
      <c r="AX9" s="8">
        <f t="shared" si="38"/>
        <v>7092.5081600000021</v>
      </c>
      <c r="AY9" s="8">
        <f t="shared" si="38"/>
        <v>7232.430028800004</v>
      </c>
      <c r="AZ9" s="8">
        <f t="shared" si="38"/>
        <v>7377.0641671680023</v>
      </c>
      <c r="BA9" s="8">
        <f t="shared" si="38"/>
        <v>7524.6053420448025</v>
      </c>
      <c r="BB9" s="8">
        <f t="shared" si="38"/>
        <v>7799.5278554830165</v>
      </c>
      <c r="BC9" s="8">
        <f t="shared" ref="BC9:BG9" si="39">BC7-BC8</f>
        <v>7879.02070748798</v>
      </c>
      <c r="BD9" s="8">
        <f t="shared" si="39"/>
        <v>7957.8221463637401</v>
      </c>
      <c r="BE9" s="8">
        <f t="shared" si="39"/>
        <v>8037.40045206588</v>
      </c>
      <c r="BF9" s="8">
        <f t="shared" si="39"/>
        <v>8117.7744572183283</v>
      </c>
      <c r="BG9" s="8">
        <f t="shared" si="39"/>
        <v>8198.952201795255</v>
      </c>
    </row>
    <row r="10" spans="2:166" x14ac:dyDescent="0.3">
      <c r="B10" t="s">
        <v>19</v>
      </c>
      <c r="C10" s="4">
        <v>296.2</v>
      </c>
      <c r="D10" s="4">
        <v>338.7</v>
      </c>
      <c r="E10" s="4">
        <v>378.6</v>
      </c>
      <c r="F10" s="4">
        <v>235.1</v>
      </c>
      <c r="G10" s="4">
        <v>239.2</v>
      </c>
      <c r="H10" s="4">
        <v>252.9</v>
      </c>
      <c r="I10" s="4">
        <v>284.3</v>
      </c>
      <c r="J10" s="4">
        <v>337</v>
      </c>
      <c r="K10" s="4">
        <v>236.3</v>
      </c>
      <c r="L10" s="4">
        <v>262.3</v>
      </c>
      <c r="M10" s="4">
        <v>293.89999999999998</v>
      </c>
      <c r="N10" s="4">
        <v>341.5</v>
      </c>
      <c r="O10" s="4">
        <v>-455.4</v>
      </c>
      <c r="P10" s="4">
        <v>122.2</v>
      </c>
      <c r="Q10" s="4">
        <v>149.30000000000001</v>
      </c>
      <c r="R10" s="4">
        <v>182.6</v>
      </c>
      <c r="S10" s="4">
        <v>187.4</v>
      </c>
      <c r="T10" s="4">
        <f t="shared" ref="T10:V10" si="40">T9*0.27</f>
        <v>219.44988720000026</v>
      </c>
      <c r="U10" s="4">
        <f t="shared" si="40"/>
        <v>274.80227129999992</v>
      </c>
      <c r="V10" s="4">
        <f t="shared" si="40"/>
        <v>265.4401914</v>
      </c>
      <c r="W10" s="4"/>
      <c r="X10" s="4"/>
      <c r="Y10" s="4"/>
      <c r="Z10" s="4"/>
      <c r="AA10" s="4">
        <v>317</v>
      </c>
      <c r="AB10" s="4">
        <v>338</v>
      </c>
      <c r="AC10" s="4">
        <v>398</v>
      </c>
      <c r="AD10" s="4">
        <f>AU10-AC10-AB10-AA10</f>
        <v>440</v>
      </c>
      <c r="AE10" s="4">
        <v>320</v>
      </c>
      <c r="AF10" s="4">
        <v>369</v>
      </c>
      <c r="AG10" s="4">
        <v>439</v>
      </c>
      <c r="AH10" s="4">
        <f>AV10-AG10-AF10-AE10</f>
        <v>491</v>
      </c>
      <c r="AI10" s="4"/>
      <c r="AJ10" s="4"/>
      <c r="AK10" s="4"/>
      <c r="AL10" s="4"/>
      <c r="AM10" s="4"/>
      <c r="AO10" s="4">
        <f>SUM(C10:F10)</f>
        <v>1248.5999999999999</v>
      </c>
      <c r="AP10" s="4">
        <f>SUM(G10:J10)</f>
        <v>1113.4000000000001</v>
      </c>
      <c r="AQ10" s="4">
        <f>SUM(K10:N10)</f>
        <v>1134</v>
      </c>
      <c r="AR10" s="4">
        <f>SUM(O10:R10)</f>
        <v>-1.2999999999999829</v>
      </c>
      <c r="AS10" s="4">
        <v>1115</v>
      </c>
      <c r="AT10" s="4">
        <v>1138</v>
      </c>
      <c r="AU10" s="4">
        <v>1493</v>
      </c>
      <c r="AV10" s="4">
        <v>1619</v>
      </c>
      <c r="AW10" s="4">
        <f>AW9*0.25</f>
        <v>1801.3760000000004</v>
      </c>
      <c r="AX10" s="4">
        <f t="shared" ref="AX10:BG10" si="41">AX9*0.25</f>
        <v>1773.1270400000005</v>
      </c>
      <c r="AY10" s="4">
        <f t="shared" si="41"/>
        <v>1808.107507200001</v>
      </c>
      <c r="AZ10" s="4">
        <f t="shared" si="41"/>
        <v>1844.2660417920006</v>
      </c>
      <c r="BA10" s="4">
        <f t="shared" si="41"/>
        <v>1881.1513355112006</v>
      </c>
      <c r="BB10" s="4">
        <f t="shared" si="41"/>
        <v>1949.8819638707541</v>
      </c>
      <c r="BC10" s="4">
        <f t="shared" si="41"/>
        <v>1969.755176871995</v>
      </c>
      <c r="BD10" s="4">
        <f t="shared" si="41"/>
        <v>1989.455536590935</v>
      </c>
      <c r="BE10" s="4">
        <f t="shared" si="41"/>
        <v>2009.35011301647</v>
      </c>
      <c r="BF10" s="4">
        <f t="shared" si="41"/>
        <v>2029.4436143045821</v>
      </c>
      <c r="BG10" s="4">
        <f t="shared" si="41"/>
        <v>2049.7380504488137</v>
      </c>
    </row>
    <row r="11" spans="2:166" s="1" customFormat="1" x14ac:dyDescent="0.3">
      <c r="B11" s="1" t="s">
        <v>20</v>
      </c>
      <c r="C11" s="8">
        <f t="shared" ref="C11:Q11" si="42">C9-C10</f>
        <v>536.29999999999973</v>
      </c>
      <c r="D11" s="8">
        <f t="shared" si="42"/>
        <v>553.00000000000091</v>
      </c>
      <c r="E11" s="8">
        <f t="shared" si="42"/>
        <v>641.40000000000066</v>
      </c>
      <c r="F11" s="8">
        <f t="shared" si="42"/>
        <v>877.2000000000013</v>
      </c>
      <c r="G11" s="8">
        <f t="shared" si="42"/>
        <v>716.400000000001</v>
      </c>
      <c r="H11" s="8">
        <f t="shared" si="42"/>
        <v>739.70000000000016</v>
      </c>
      <c r="I11" s="8">
        <f t="shared" si="42"/>
        <v>762.29999999999927</v>
      </c>
      <c r="J11" s="8">
        <f t="shared" si="42"/>
        <v>841.599999999999</v>
      </c>
      <c r="K11" s="8">
        <f t="shared" si="42"/>
        <v>700.90000000000055</v>
      </c>
      <c r="L11" s="8">
        <f t="shared" si="42"/>
        <v>759</v>
      </c>
      <c r="M11" s="8">
        <f t="shared" si="42"/>
        <v>828.19999999999925</v>
      </c>
      <c r="N11" s="8">
        <f t="shared" si="42"/>
        <v>984.80000000000064</v>
      </c>
      <c r="O11" s="8">
        <f t="shared" si="42"/>
        <v>-887.70000000000039</v>
      </c>
      <c r="P11" s="8">
        <f t="shared" si="42"/>
        <v>-214.19999999999959</v>
      </c>
      <c r="Q11" s="8">
        <f t="shared" si="42"/>
        <v>866.69999999999914</v>
      </c>
      <c r="R11" s="8">
        <f t="shared" ref="R11:V11" si="43">R9-R10</f>
        <v>325.60000000000059</v>
      </c>
      <c r="S11" s="8">
        <f t="shared" si="43"/>
        <v>534.00000000000034</v>
      </c>
      <c r="T11" s="8">
        <f t="shared" si="43"/>
        <v>593.32747280000069</v>
      </c>
      <c r="U11" s="8">
        <f t="shared" si="43"/>
        <v>742.98391869999978</v>
      </c>
      <c r="V11" s="8">
        <f t="shared" si="43"/>
        <v>717.67162859999996</v>
      </c>
      <c r="W11" s="8"/>
      <c r="X11" s="8"/>
      <c r="Y11" s="8"/>
      <c r="Z11" s="8"/>
      <c r="AA11" s="8">
        <f t="shared" ref="AA11:AB11" si="44">AA9-AA10</f>
        <v>891</v>
      </c>
      <c r="AB11" s="8">
        <f t="shared" si="44"/>
        <v>989</v>
      </c>
      <c r="AC11" s="8">
        <f t="shared" ref="AC11:AD11" si="45">AC9-AC10</f>
        <v>1191</v>
      </c>
      <c r="AD11" s="8">
        <f t="shared" si="45"/>
        <v>1403</v>
      </c>
      <c r="AE11" s="8">
        <f t="shared" ref="AE11" si="46">AE9-AE10</f>
        <v>1070</v>
      </c>
      <c r="AF11" s="8">
        <f t="shared" ref="AF11" si="47">AF9-AF10</f>
        <v>1099</v>
      </c>
      <c r="AG11" s="8">
        <f t="shared" ref="AG11:AH11" si="48">AG9-AG10</f>
        <v>1297</v>
      </c>
      <c r="AH11" s="8">
        <f t="shared" si="48"/>
        <v>1398</v>
      </c>
      <c r="AI11" s="8"/>
      <c r="AJ11" s="8"/>
      <c r="AK11" s="8"/>
      <c r="AL11" s="8"/>
      <c r="AM11" s="8"/>
      <c r="AO11" s="8">
        <f>AO9-AO10</f>
        <v>2607.9000000000096</v>
      </c>
      <c r="AP11" s="8">
        <f>AP9-AP10</f>
        <v>3060.0000000000023</v>
      </c>
      <c r="AQ11" s="8">
        <f>AQ9-AQ10</f>
        <v>3272.9000000000005</v>
      </c>
      <c r="AR11" s="8">
        <f>AR9-AR10</f>
        <v>90.400000000002905</v>
      </c>
      <c r="AS11" s="8">
        <f t="shared" ref="AS11:BB11" si="49">AS9-AS10</f>
        <v>3283</v>
      </c>
      <c r="AT11" s="8">
        <f t="shared" si="49"/>
        <v>3498</v>
      </c>
      <c r="AU11" s="8">
        <f t="shared" si="49"/>
        <v>4474</v>
      </c>
      <c r="AV11" s="8">
        <f t="shared" si="49"/>
        <v>4864</v>
      </c>
      <c r="AW11" s="8">
        <f t="shared" si="49"/>
        <v>5404.1280000000015</v>
      </c>
      <c r="AX11" s="8">
        <f t="shared" si="49"/>
        <v>5319.3811200000018</v>
      </c>
      <c r="AY11" s="8">
        <f t="shared" si="49"/>
        <v>5424.3225216000028</v>
      </c>
      <c r="AZ11" s="8">
        <f t="shared" si="49"/>
        <v>5532.7981253760017</v>
      </c>
      <c r="BA11" s="8">
        <f t="shared" si="49"/>
        <v>5643.4540065336023</v>
      </c>
      <c r="BB11" s="8">
        <f t="shared" si="49"/>
        <v>5849.6458916122629</v>
      </c>
      <c r="BC11" s="8">
        <f t="shared" ref="BC11:BG11" si="50">BC9-BC10</f>
        <v>5909.265530615985</v>
      </c>
      <c r="BD11" s="8">
        <f t="shared" si="50"/>
        <v>5968.3666097728055</v>
      </c>
      <c r="BE11" s="8">
        <f t="shared" si="50"/>
        <v>6028.0503390494105</v>
      </c>
      <c r="BF11" s="8">
        <f t="shared" si="50"/>
        <v>6088.330842913746</v>
      </c>
      <c r="BG11" s="8">
        <f t="shared" si="50"/>
        <v>6149.2141513464412</v>
      </c>
      <c r="BH11" s="1">
        <f>BG11*(1+$BJ$17)</f>
        <v>6087.7220098329772</v>
      </c>
      <c r="BI11" s="1">
        <f t="shared" ref="BI11:DT11" si="51">BH11*(1+$BJ$17)</f>
        <v>6026.8447897346477</v>
      </c>
      <c r="BJ11" s="1">
        <f t="shared" si="51"/>
        <v>5966.5763418373008</v>
      </c>
      <c r="BK11" s="1">
        <f t="shared" si="51"/>
        <v>5906.9105784189278</v>
      </c>
      <c r="BL11" s="1">
        <f t="shared" si="51"/>
        <v>5847.8414726347382</v>
      </c>
      <c r="BM11" s="1">
        <f t="shared" si="51"/>
        <v>5789.3630579083911</v>
      </c>
      <c r="BN11" s="1">
        <f t="shared" si="51"/>
        <v>5731.4694273293071</v>
      </c>
      <c r="BO11" s="1">
        <f t="shared" si="51"/>
        <v>5674.1547330560143</v>
      </c>
      <c r="BP11" s="1">
        <f t="shared" si="51"/>
        <v>5617.4131857254542</v>
      </c>
      <c r="BQ11" s="1">
        <f t="shared" si="51"/>
        <v>5561.2390538681993</v>
      </c>
      <c r="BR11" s="1">
        <f t="shared" si="51"/>
        <v>5505.6266633295172</v>
      </c>
      <c r="BS11" s="1">
        <f t="shared" si="51"/>
        <v>5450.5703966962219</v>
      </c>
      <c r="BT11" s="1">
        <f t="shared" si="51"/>
        <v>5396.0646927292601</v>
      </c>
      <c r="BU11" s="1">
        <f t="shared" si="51"/>
        <v>5342.104045801967</v>
      </c>
      <c r="BV11" s="1">
        <f t="shared" si="51"/>
        <v>5288.6830053439471</v>
      </c>
      <c r="BW11" s="1">
        <f t="shared" si="51"/>
        <v>5235.7961752905076</v>
      </c>
      <c r="BX11" s="1">
        <f t="shared" si="51"/>
        <v>5183.4382135376027</v>
      </c>
      <c r="BY11" s="1">
        <f t="shared" si="51"/>
        <v>5131.6038314022262</v>
      </c>
      <c r="BZ11" s="1">
        <f t="shared" si="51"/>
        <v>5080.2877930882041</v>
      </c>
      <c r="CA11" s="1">
        <f t="shared" si="51"/>
        <v>5029.4849151573217</v>
      </c>
      <c r="CB11" s="1">
        <f t="shared" si="51"/>
        <v>4979.1900660057481</v>
      </c>
      <c r="CC11" s="1">
        <f t="shared" si="51"/>
        <v>4929.3981653456904</v>
      </c>
      <c r="CD11" s="1">
        <f t="shared" si="51"/>
        <v>4880.1041836922332</v>
      </c>
      <c r="CE11" s="1">
        <f t="shared" si="51"/>
        <v>4831.303141855311</v>
      </c>
      <c r="CF11" s="1">
        <f t="shared" si="51"/>
        <v>4782.9901104367582</v>
      </c>
      <c r="CG11" s="1">
        <f t="shared" si="51"/>
        <v>4735.1602093323909</v>
      </c>
      <c r="CH11" s="1">
        <f t="shared" si="51"/>
        <v>4687.808607239067</v>
      </c>
      <c r="CI11" s="1">
        <f t="shared" si="51"/>
        <v>4640.930521166676</v>
      </c>
      <c r="CJ11" s="1">
        <f t="shared" si="51"/>
        <v>4594.5212159550092</v>
      </c>
      <c r="CK11" s="1">
        <f t="shared" si="51"/>
        <v>4548.5760037954587</v>
      </c>
      <c r="CL11" s="1">
        <f t="shared" si="51"/>
        <v>4503.0902437575041</v>
      </c>
      <c r="CM11" s="1">
        <f t="shared" si="51"/>
        <v>4458.0593413199294</v>
      </c>
      <c r="CN11" s="1">
        <f t="shared" si="51"/>
        <v>4413.47874790673</v>
      </c>
      <c r="CO11" s="1">
        <f t="shared" si="51"/>
        <v>4369.3439604276628</v>
      </c>
      <c r="CP11" s="1">
        <f t="shared" si="51"/>
        <v>4325.6505208233857</v>
      </c>
      <c r="CQ11" s="1">
        <f t="shared" si="51"/>
        <v>4282.3940156151521</v>
      </c>
      <c r="CR11" s="1">
        <f t="shared" si="51"/>
        <v>4239.5700754590007</v>
      </c>
      <c r="CS11" s="1">
        <f t="shared" si="51"/>
        <v>4197.1743747044111</v>
      </c>
      <c r="CT11" s="1">
        <f t="shared" si="51"/>
        <v>4155.2026309573666</v>
      </c>
      <c r="CU11" s="1">
        <f t="shared" si="51"/>
        <v>4113.6506046477925</v>
      </c>
      <c r="CV11" s="1">
        <f t="shared" si="51"/>
        <v>4072.5140986013143</v>
      </c>
      <c r="CW11" s="1">
        <f t="shared" si="51"/>
        <v>4031.7889576153011</v>
      </c>
      <c r="CX11" s="1">
        <f t="shared" si="51"/>
        <v>3991.4710680391481</v>
      </c>
      <c r="CY11" s="1">
        <f t="shared" si="51"/>
        <v>3951.5563573587565</v>
      </c>
      <c r="CZ11" s="1">
        <f t="shared" si="51"/>
        <v>3912.0407937851687</v>
      </c>
      <c r="DA11" s="1">
        <f t="shared" si="51"/>
        <v>3872.920385847317</v>
      </c>
      <c r="DB11" s="1">
        <f t="shared" si="51"/>
        <v>3834.1911819888437</v>
      </c>
      <c r="DC11" s="1">
        <f t="shared" si="51"/>
        <v>3795.8492701689552</v>
      </c>
      <c r="DD11" s="1">
        <f t="shared" si="51"/>
        <v>3757.8907774672657</v>
      </c>
      <c r="DE11" s="1">
        <f t="shared" si="51"/>
        <v>3720.3118696925931</v>
      </c>
      <c r="DF11" s="1">
        <f t="shared" si="51"/>
        <v>3683.1087509956669</v>
      </c>
      <c r="DG11" s="1">
        <f t="shared" si="51"/>
        <v>3646.27766348571</v>
      </c>
      <c r="DH11" s="1">
        <f t="shared" si="51"/>
        <v>3609.8148868508529</v>
      </c>
      <c r="DI11" s="1">
        <f t="shared" si="51"/>
        <v>3573.7167379823445</v>
      </c>
      <c r="DJ11" s="1">
        <f t="shared" si="51"/>
        <v>3537.9795706025211</v>
      </c>
      <c r="DK11" s="1">
        <f t="shared" si="51"/>
        <v>3502.599774896496</v>
      </c>
      <c r="DL11" s="1">
        <f t="shared" si="51"/>
        <v>3467.573777147531</v>
      </c>
      <c r="DM11" s="1">
        <f t="shared" si="51"/>
        <v>3432.8980393760557</v>
      </c>
      <c r="DN11" s="1">
        <f t="shared" si="51"/>
        <v>3398.5690589822952</v>
      </c>
      <c r="DO11" s="1">
        <f t="shared" si="51"/>
        <v>3364.583368392472</v>
      </c>
      <c r="DP11" s="1">
        <f t="shared" si="51"/>
        <v>3330.9375347085474</v>
      </c>
      <c r="DQ11" s="1">
        <f t="shared" si="51"/>
        <v>3297.6281593614622</v>
      </c>
      <c r="DR11" s="1">
        <f t="shared" si="51"/>
        <v>3264.6518777678475</v>
      </c>
      <c r="DS11" s="1">
        <f t="shared" si="51"/>
        <v>3232.005358990169</v>
      </c>
      <c r="DT11" s="1">
        <f t="shared" si="51"/>
        <v>3199.6853054002672</v>
      </c>
      <c r="DU11" s="1">
        <f t="shared" ref="DU11:FJ11" si="52">DT11*(1+$BJ$17)</f>
        <v>3167.6884523462645</v>
      </c>
      <c r="DV11" s="1">
        <f t="shared" si="52"/>
        <v>3136.0115678228017</v>
      </c>
      <c r="DW11" s="1">
        <f t="shared" si="52"/>
        <v>3104.6514521445738</v>
      </c>
      <c r="DX11" s="1">
        <f t="shared" si="52"/>
        <v>3073.6049376231281</v>
      </c>
      <c r="DY11" s="1">
        <f t="shared" si="52"/>
        <v>3042.8688882468969</v>
      </c>
      <c r="DZ11" s="1">
        <f t="shared" si="52"/>
        <v>3012.4401993644278</v>
      </c>
      <c r="EA11" s="1">
        <f t="shared" si="52"/>
        <v>2982.3157973707835</v>
      </c>
      <c r="EB11" s="1">
        <f t="shared" si="52"/>
        <v>2952.4926393970754</v>
      </c>
      <c r="EC11" s="1">
        <f t="shared" si="52"/>
        <v>2922.9677130031046</v>
      </c>
      <c r="ED11" s="1">
        <f t="shared" si="52"/>
        <v>2893.7380358730734</v>
      </c>
      <c r="EE11" s="1">
        <f t="shared" si="52"/>
        <v>2864.8006555143425</v>
      </c>
      <c r="EF11" s="1">
        <f t="shared" si="52"/>
        <v>2836.1526489591988</v>
      </c>
      <c r="EG11" s="1">
        <f t="shared" si="52"/>
        <v>2807.7911224696068</v>
      </c>
      <c r="EH11" s="1">
        <f t="shared" si="52"/>
        <v>2779.7132112449108</v>
      </c>
      <c r="EI11" s="1">
        <f t="shared" si="52"/>
        <v>2751.9160791324616</v>
      </c>
      <c r="EJ11" s="1">
        <f t="shared" si="52"/>
        <v>2724.3969183411368</v>
      </c>
      <c r="EK11" s="1">
        <f t="shared" si="52"/>
        <v>2697.1529491577253</v>
      </c>
      <c r="EL11" s="1">
        <f t="shared" si="52"/>
        <v>2670.181419666148</v>
      </c>
      <c r="EM11" s="1">
        <f t="shared" si="52"/>
        <v>2643.4796054694866</v>
      </c>
      <c r="EN11" s="1">
        <f t="shared" si="52"/>
        <v>2617.0448094147919</v>
      </c>
      <c r="EO11" s="1">
        <f t="shared" si="52"/>
        <v>2590.8743613206439</v>
      </c>
      <c r="EP11" s="1">
        <f t="shared" si="52"/>
        <v>2564.9656177074376</v>
      </c>
      <c r="EQ11" s="1">
        <f t="shared" si="52"/>
        <v>2539.315961530363</v>
      </c>
      <c r="ER11" s="1">
        <f t="shared" si="52"/>
        <v>2513.9228019150592</v>
      </c>
      <c r="ES11" s="1">
        <f t="shared" si="52"/>
        <v>2488.7835738959084</v>
      </c>
      <c r="ET11" s="1">
        <f t="shared" si="52"/>
        <v>2463.8957381569494</v>
      </c>
      <c r="EU11" s="1">
        <f t="shared" si="52"/>
        <v>2439.2567807753799</v>
      </c>
      <c r="EV11" s="1">
        <f t="shared" si="52"/>
        <v>2414.8642129676259</v>
      </c>
      <c r="EW11" s="1">
        <f t="shared" si="52"/>
        <v>2390.7155708379496</v>
      </c>
      <c r="EX11" s="1">
        <f t="shared" si="52"/>
        <v>2366.8084151295702</v>
      </c>
      <c r="EY11" s="1">
        <f t="shared" si="52"/>
        <v>2343.1403309782745</v>
      </c>
      <c r="EZ11" s="1">
        <f t="shared" si="52"/>
        <v>2319.7089276684919</v>
      </c>
      <c r="FA11" s="1">
        <f t="shared" si="52"/>
        <v>2296.511838391807</v>
      </c>
      <c r="FB11" s="1">
        <f t="shared" si="52"/>
        <v>2273.5467200078888</v>
      </c>
      <c r="FC11" s="1">
        <f t="shared" si="52"/>
        <v>2250.81125280781</v>
      </c>
      <c r="FD11" s="1">
        <f t="shared" si="52"/>
        <v>2228.3031402797319</v>
      </c>
      <c r="FE11" s="1">
        <f t="shared" si="52"/>
        <v>2206.0201088769345</v>
      </c>
      <c r="FF11" s="1">
        <f t="shared" si="52"/>
        <v>2183.9599077881653</v>
      </c>
      <c r="FG11" s="1">
        <f t="shared" si="52"/>
        <v>2162.1203087102836</v>
      </c>
      <c r="FH11" s="1">
        <f t="shared" si="52"/>
        <v>2140.4991056231806</v>
      </c>
      <c r="FI11" s="1">
        <f t="shared" si="52"/>
        <v>2119.094114566949</v>
      </c>
      <c r="FJ11" s="1">
        <f t="shared" si="52"/>
        <v>2097.9031734212795</v>
      </c>
    </row>
    <row r="12" spans="2:166" x14ac:dyDescent="0.3">
      <c r="B12" t="s">
        <v>2</v>
      </c>
      <c r="C12" s="4">
        <v>1201</v>
      </c>
      <c r="D12" s="4">
        <v>1201</v>
      </c>
      <c r="E12" s="4">
        <v>1201</v>
      </c>
      <c r="F12" s="4">
        <v>1201</v>
      </c>
      <c r="G12" s="4">
        <v>1201</v>
      </c>
      <c r="H12" s="4">
        <v>1201</v>
      </c>
      <c r="I12" s="4">
        <v>1201</v>
      </c>
      <c r="J12" s="4">
        <v>1201</v>
      </c>
      <c r="K12" s="4">
        <v>1201</v>
      </c>
      <c r="L12" s="4">
        <v>1201</v>
      </c>
      <c r="M12" s="4">
        <v>1201</v>
      </c>
      <c r="N12" s="4">
        <v>1201</v>
      </c>
      <c r="O12" s="4">
        <v>1201</v>
      </c>
      <c r="P12" s="4">
        <v>1201</v>
      </c>
      <c r="Q12" s="4">
        <v>1201</v>
      </c>
      <c r="R12" s="4">
        <v>1201</v>
      </c>
      <c r="S12" s="4">
        <v>1221.5</v>
      </c>
      <c r="T12" s="4">
        <v>1221.5</v>
      </c>
      <c r="U12" s="4">
        <v>1221.5</v>
      </c>
      <c r="V12" s="4">
        <v>1221.5</v>
      </c>
      <c r="W12" s="4"/>
      <c r="X12" s="4"/>
      <c r="Y12" s="4"/>
      <c r="Z12" s="4"/>
      <c r="AA12" s="4">
        <v>1153</v>
      </c>
      <c r="AB12" s="4">
        <v>1148</v>
      </c>
      <c r="AC12" s="4">
        <v>1144</v>
      </c>
      <c r="AD12" s="4">
        <v>1146</v>
      </c>
      <c r="AE12" s="4">
        <v>1132</v>
      </c>
      <c r="AF12" s="4">
        <v>1130</v>
      </c>
      <c r="AG12" s="4">
        <v>1127</v>
      </c>
      <c r="AH12" s="4">
        <f>1117.1</f>
        <v>1117.0999999999999</v>
      </c>
      <c r="AI12" s="4"/>
      <c r="AJ12" s="4"/>
      <c r="AK12" s="4"/>
      <c r="AL12" s="4"/>
      <c r="AM12" s="4"/>
      <c r="AO12" s="4">
        <v>1201</v>
      </c>
      <c r="AP12" s="4">
        <v>1201</v>
      </c>
      <c r="AQ12" s="4">
        <v>1201</v>
      </c>
      <c r="AR12" s="4">
        <v>1201</v>
      </c>
      <c r="AS12" s="4">
        <v>1200</v>
      </c>
      <c r="AT12" s="4">
        <v>1166</v>
      </c>
      <c r="AU12" s="4">
        <v>1146</v>
      </c>
      <c r="AV12" s="4">
        <f t="shared" ref="AV12:BG12" si="53">1117.1</f>
        <v>1117.0999999999999</v>
      </c>
      <c r="AW12" s="4">
        <f t="shared" si="53"/>
        <v>1117.0999999999999</v>
      </c>
      <c r="AX12" s="4">
        <f t="shared" si="53"/>
        <v>1117.0999999999999</v>
      </c>
      <c r="AY12" s="4">
        <f t="shared" si="53"/>
        <v>1117.0999999999999</v>
      </c>
      <c r="AZ12" s="4">
        <f t="shared" si="53"/>
        <v>1117.0999999999999</v>
      </c>
      <c r="BA12" s="4">
        <f t="shared" si="53"/>
        <v>1117.0999999999999</v>
      </c>
      <c r="BB12" s="4">
        <f t="shared" si="53"/>
        <v>1117.0999999999999</v>
      </c>
      <c r="BC12" s="4">
        <f t="shared" si="53"/>
        <v>1117.0999999999999</v>
      </c>
      <c r="BD12" s="4">
        <f t="shared" si="53"/>
        <v>1117.0999999999999</v>
      </c>
      <c r="BE12" s="4">
        <f t="shared" si="53"/>
        <v>1117.0999999999999</v>
      </c>
      <c r="BF12" s="4">
        <f t="shared" si="53"/>
        <v>1117.0999999999999</v>
      </c>
      <c r="BG12" s="4">
        <f t="shared" si="53"/>
        <v>1117.0999999999999</v>
      </c>
    </row>
    <row r="13" spans="2:166" s="1" customFormat="1" x14ac:dyDescent="0.3">
      <c r="B13" s="1" t="s">
        <v>21</v>
      </c>
      <c r="C13" s="7">
        <f t="shared" ref="C13:Q13" si="54">C11/C12</f>
        <v>0.4465445462114902</v>
      </c>
      <c r="D13" s="7">
        <f t="shared" si="54"/>
        <v>0.46044962531224054</v>
      </c>
      <c r="E13" s="7">
        <f t="shared" si="54"/>
        <v>0.53405495420482985</v>
      </c>
      <c r="F13" s="7">
        <f t="shared" si="54"/>
        <v>0.73039134054954313</v>
      </c>
      <c r="G13" s="7">
        <f t="shared" si="54"/>
        <v>0.59650291423813573</v>
      </c>
      <c r="H13" s="7">
        <f t="shared" si="54"/>
        <v>0.61590341382181524</v>
      </c>
      <c r="I13" s="7">
        <f t="shared" si="54"/>
        <v>0.63472106577851728</v>
      </c>
      <c r="J13" s="7">
        <f t="shared" si="54"/>
        <v>0.70074937552039884</v>
      </c>
      <c r="K13" s="7">
        <f t="shared" si="54"/>
        <v>0.5835970024979189</v>
      </c>
      <c r="L13" s="7">
        <f t="shared" si="54"/>
        <v>0.63197335553705247</v>
      </c>
      <c r="M13" s="7">
        <f t="shared" si="54"/>
        <v>0.68959200666111509</v>
      </c>
      <c r="N13" s="7">
        <f t="shared" si="54"/>
        <v>0.81998334721065835</v>
      </c>
      <c r="O13" s="7">
        <f t="shared" si="54"/>
        <v>-0.73913405495420514</v>
      </c>
      <c r="P13" s="7">
        <f t="shared" si="54"/>
        <v>-0.1783513738551204</v>
      </c>
      <c r="Q13" s="7">
        <f t="shared" si="54"/>
        <v>0.72164862614487857</v>
      </c>
      <c r="R13" s="7">
        <f t="shared" ref="R13:V13" si="55">R11/R12</f>
        <v>0.27110741049125781</v>
      </c>
      <c r="S13" s="7">
        <f t="shared" si="55"/>
        <v>0.43716741711011081</v>
      </c>
      <c r="T13" s="7">
        <f t="shared" si="55"/>
        <v>0.48573677674989824</v>
      </c>
      <c r="U13" s="7">
        <f t="shared" si="55"/>
        <v>0.60825535710192369</v>
      </c>
      <c r="V13" s="7">
        <f t="shared" si="55"/>
        <v>0.58753305656979116</v>
      </c>
      <c r="W13" s="7"/>
      <c r="X13" s="7"/>
      <c r="Y13" s="7"/>
      <c r="Z13" s="7"/>
      <c r="AA13" s="7">
        <f t="shared" ref="AA13:AB13" si="56">AA11/AA12</f>
        <v>0.77276669557675626</v>
      </c>
      <c r="AB13" s="7">
        <f t="shared" si="56"/>
        <v>0.86149825783972123</v>
      </c>
      <c r="AC13" s="7">
        <f t="shared" ref="AC13:AD13" si="57">AC11/AC12</f>
        <v>1.041083916083916</v>
      </c>
      <c r="AD13" s="7">
        <f t="shared" si="57"/>
        <v>1.2242582897033158</v>
      </c>
      <c r="AE13" s="7">
        <f t="shared" ref="AE13" si="58">AE11/AE12</f>
        <v>0.94522968197879864</v>
      </c>
      <c r="AF13" s="7">
        <f t="shared" ref="AF13" si="59">AF11/AF12</f>
        <v>0.97256637168141591</v>
      </c>
      <c r="AG13" s="7">
        <f t="shared" ref="AG13:AH13" si="60">AG11/AG12</f>
        <v>1.1508429458740017</v>
      </c>
      <c r="AH13" s="7">
        <f t="shared" si="60"/>
        <v>1.2514546593859099</v>
      </c>
      <c r="AI13" s="7"/>
      <c r="AJ13" s="7"/>
      <c r="AK13" s="7"/>
      <c r="AL13" s="7"/>
      <c r="AM13" s="7"/>
      <c r="AO13" s="7">
        <f>AO11/AO12</f>
        <v>2.1714404662781095</v>
      </c>
      <c r="AP13" s="7">
        <f>AP11/AP12</f>
        <v>2.5478767693588695</v>
      </c>
      <c r="AQ13" s="7">
        <f>AQ11/AQ12</f>
        <v>2.725145711906745</v>
      </c>
      <c r="AR13" s="7">
        <f>AR11/AR12</f>
        <v>7.5270607826813413E-2</v>
      </c>
      <c r="AS13" s="7">
        <f t="shared" ref="AS13:BB13" si="61">AS11/AS12</f>
        <v>2.7358333333333333</v>
      </c>
      <c r="AT13" s="7">
        <f t="shared" si="61"/>
        <v>3</v>
      </c>
      <c r="AU13" s="7">
        <f t="shared" si="61"/>
        <v>3.9040139616055844</v>
      </c>
      <c r="AV13" s="7">
        <f t="shared" si="61"/>
        <v>4.3541312326559849</v>
      </c>
      <c r="AW13" s="7">
        <f t="shared" si="61"/>
        <v>4.837640318682304</v>
      </c>
      <c r="AX13" s="7">
        <f t="shared" si="61"/>
        <v>4.7617770298093296</v>
      </c>
      <c r="AY13" s="7">
        <f t="shared" si="61"/>
        <v>4.8557179496911678</v>
      </c>
      <c r="AZ13" s="7">
        <f t="shared" si="61"/>
        <v>4.9528225990296324</v>
      </c>
      <c r="BA13" s="7">
        <f t="shared" si="61"/>
        <v>5.0518789781878102</v>
      </c>
      <c r="BB13" s="7">
        <f t="shared" si="61"/>
        <v>5.2364568002974341</v>
      </c>
      <c r="BC13" s="7">
        <f t="shared" ref="BC13:BG13" si="62">BC11/BC12</f>
        <v>5.2898268110428655</v>
      </c>
      <c r="BD13" s="7">
        <f t="shared" si="62"/>
        <v>5.3427326199738658</v>
      </c>
      <c r="BE13" s="7">
        <f t="shared" si="62"/>
        <v>5.396160002729756</v>
      </c>
      <c r="BF13" s="7">
        <f t="shared" si="62"/>
        <v>5.4501216031812252</v>
      </c>
      <c r="BG13" s="7">
        <f t="shared" si="62"/>
        <v>5.5046228192162223</v>
      </c>
    </row>
    <row r="15" spans="2:166" x14ac:dyDescent="0.3">
      <c r="B15" s="1" t="s">
        <v>38</v>
      </c>
      <c r="G15" s="9">
        <f>G3/C3-1</f>
        <v>0.11622559095580698</v>
      </c>
      <c r="H15" s="9">
        <f t="shared" ref="H15:R15" si="63">H3/D3-1</f>
        <v>0.11646744917860175</v>
      </c>
      <c r="I15" s="9">
        <f t="shared" si="63"/>
        <v>0.12138504028668584</v>
      </c>
      <c r="J15" s="9">
        <f t="shared" si="63"/>
        <v>1.5199759139470803E-2</v>
      </c>
      <c r="K15" s="9">
        <f t="shared" si="63"/>
        <v>6.7777688261765334E-2</v>
      </c>
      <c r="L15" s="9">
        <f t="shared" si="63"/>
        <v>4.8279409715896282E-2</v>
      </c>
      <c r="M15" s="9">
        <f t="shared" si="63"/>
        <v>6.3658938712369384E-2</v>
      </c>
      <c r="N15" s="9">
        <f t="shared" si="63"/>
        <v>9.698669039209884E-2</v>
      </c>
      <c r="O15" s="9">
        <f t="shared" si="63"/>
        <v>-0.52478011554712434</v>
      </c>
      <c r="P15" s="9">
        <f t="shared" si="63"/>
        <v>-0.3183528257135847</v>
      </c>
      <c r="Q15" s="9">
        <f t="shared" si="63"/>
        <v>-3.1957746883162885E-2</v>
      </c>
      <c r="R15" s="9">
        <f t="shared" si="63"/>
        <v>-0.10349404006062335</v>
      </c>
      <c r="S15" s="9">
        <f t="shared" ref="S15" si="64">S3/O3-1</f>
        <v>1.2878042142030894</v>
      </c>
      <c r="T15" s="9">
        <f t="shared" ref="T15" si="65">T3/P3-1</f>
        <v>0.56972703821465021</v>
      </c>
      <c r="U15" s="9">
        <f t="shared" ref="U15" si="66">U3/Q3-1</f>
        <v>7.0000000000000062E-2</v>
      </c>
      <c r="V15" s="9">
        <f t="shared" ref="V15" si="67">V3/R3-1</f>
        <v>4.0000000000000036E-2</v>
      </c>
      <c r="W15" s="9">
        <f t="shared" ref="W15" si="68">W3/S3-1</f>
        <v>-1</v>
      </c>
      <c r="X15" s="9">
        <f t="shared" ref="X15" si="69">X3/T3-1</f>
        <v>-1</v>
      </c>
      <c r="Y15" s="9">
        <f t="shared" ref="Y15" si="70">Y3/U3-1</f>
        <v>-1</v>
      </c>
      <c r="Z15" s="9">
        <f t="shared" ref="Z15" si="71">Z3/V3-1</f>
        <v>-1</v>
      </c>
      <c r="AA15" s="9" t="e">
        <f t="shared" ref="AA15" si="72">AA3/W3-1</f>
        <v>#DIV/0!</v>
      </c>
      <c r="AB15" s="9" t="e">
        <f t="shared" ref="AB15" si="73">AB3/X3-1</f>
        <v>#DIV/0!</v>
      </c>
      <c r="AC15" s="9" t="e">
        <f t="shared" ref="AC15" si="74">AC3/Y3-1</f>
        <v>#DIV/0!</v>
      </c>
      <c r="AD15" s="9" t="e">
        <f t="shared" ref="AD15" si="75">AD3/Z3-1</f>
        <v>#DIV/0!</v>
      </c>
      <c r="AE15" s="9">
        <f t="shared" ref="AE15" si="76">AE3/AA3-1</f>
        <v>5.9068149028260963E-2</v>
      </c>
      <c r="AF15" s="9">
        <f t="shared" ref="AF15" si="77">AF3/AB3-1</f>
        <v>5.5651356011914066E-2</v>
      </c>
      <c r="AG15" s="9">
        <f t="shared" ref="AG15" si="78">AG3/AC3-1</f>
        <v>6.0158311345646531E-2</v>
      </c>
      <c r="AH15" s="9">
        <f t="shared" ref="AH15" si="79">AH3/AD3-1</f>
        <v>-3.7170190725732688E-3</v>
      </c>
      <c r="AI15" s="9">
        <f t="shared" ref="AI15" si="80">AI3/AE3-1</f>
        <v>-1</v>
      </c>
      <c r="AJ15" s="9">
        <f t="shared" ref="AJ15" si="81">AJ3/AF3-1</f>
        <v>-1</v>
      </c>
      <c r="AK15" s="9">
        <f t="shared" ref="AK15" si="82">AK3/AG3-1</f>
        <v>-1</v>
      </c>
      <c r="AL15" s="9">
        <f t="shared" ref="AL15" si="83">AL3/AH3-1</f>
        <v>-1</v>
      </c>
      <c r="AM15" s="9"/>
      <c r="AP15" s="9">
        <f>AP3/AO3-1</f>
        <v>8.666763326511373E-2</v>
      </c>
      <c r="AQ15" s="9">
        <f t="shared" ref="AQ15:BB15" si="84">AQ3/AP3-1</f>
        <v>7.0410464707527431E-2</v>
      </c>
      <c r="AR15" s="9">
        <f t="shared" si="84"/>
        <v>-0.22964259174916701</v>
      </c>
      <c r="AS15" s="9">
        <f t="shared" si="84"/>
        <v>0.51071973115100966</v>
      </c>
      <c r="AT15" s="9">
        <f t="shared" si="84"/>
        <v>2.854788877445924E-2</v>
      </c>
      <c r="AU15" s="9">
        <f t="shared" si="84"/>
        <v>8.5729734059596385E-2</v>
      </c>
      <c r="AV15" s="9">
        <f t="shared" si="84"/>
        <v>3.9526347824483166E-2</v>
      </c>
      <c r="AW15" s="9">
        <f t="shared" si="84"/>
        <v>2.0000000000000018E-2</v>
      </c>
      <c r="AX15" s="9">
        <f t="shared" si="84"/>
        <v>2.0000000000000018E-2</v>
      </c>
      <c r="AY15" s="9">
        <f t="shared" si="84"/>
        <v>2.0000000000000018E-2</v>
      </c>
      <c r="AZ15" s="9">
        <f t="shared" si="84"/>
        <v>2.0000000000000018E-2</v>
      </c>
      <c r="BA15" s="9">
        <f t="shared" si="84"/>
        <v>2.0000000000000018E-2</v>
      </c>
      <c r="BB15" s="9">
        <f t="shared" si="84"/>
        <v>2.0000000000000018E-2</v>
      </c>
      <c r="BC15" s="9">
        <f t="shared" ref="BC15" si="85">BC3/BB3-1</f>
        <v>1.0000000000000009E-2</v>
      </c>
      <c r="BD15" s="9">
        <f t="shared" ref="BD15" si="86">BD3/BC3-1</f>
        <v>1.0000000000000009E-2</v>
      </c>
      <c r="BE15" s="9">
        <f t="shared" ref="BE15" si="87">BE3/BD3-1</f>
        <v>1.0000000000000009E-2</v>
      </c>
      <c r="BF15" s="9">
        <f t="shared" ref="BF15" si="88">BF3/BE3-1</f>
        <v>1.0000000000000009E-2</v>
      </c>
      <c r="BG15" s="9">
        <f t="shared" ref="BG15" si="89">BG3/BF3-1</f>
        <v>1.0000000000000009E-2</v>
      </c>
    </row>
    <row r="16" spans="2:166" x14ac:dyDescent="0.3">
      <c r="B16" s="1" t="s">
        <v>37</v>
      </c>
      <c r="C16" s="9">
        <f>C5/C3</f>
        <v>0.28955549845837614</v>
      </c>
      <c r="D16" s="9">
        <f t="shared" ref="D16:R16" si="90">D5/D3</f>
        <v>0.28536559101188136</v>
      </c>
      <c r="E16" s="9">
        <f t="shared" si="90"/>
        <v>0.29812147634155811</v>
      </c>
      <c r="F16" s="9">
        <f t="shared" si="90"/>
        <v>0.28385960750681988</v>
      </c>
      <c r="G16" s="9">
        <f t="shared" si="90"/>
        <v>0.28893850633581558</v>
      </c>
      <c r="H16" s="9">
        <f t="shared" si="90"/>
        <v>0.28885126083741469</v>
      </c>
      <c r="I16" s="9">
        <f t="shared" si="90"/>
        <v>0.28926906714974859</v>
      </c>
      <c r="J16" s="9">
        <f t="shared" si="90"/>
        <v>0.27802791333027771</v>
      </c>
      <c r="K16" s="9">
        <f t="shared" si="90"/>
        <v>0.28452401483142198</v>
      </c>
      <c r="L16" s="9">
        <f t="shared" si="90"/>
        <v>0.2817023799787356</v>
      </c>
      <c r="M16" s="9">
        <f t="shared" si="90"/>
        <v>0.2881268358960129</v>
      </c>
      <c r="N16" s="9">
        <f t="shared" si="90"/>
        <v>0.28384057674189989</v>
      </c>
      <c r="O16" s="9">
        <f t="shared" si="90"/>
        <v>-1.3155208782236346E-3</v>
      </c>
      <c r="P16" s="9">
        <f t="shared" si="90"/>
        <v>0.22393364928909956</v>
      </c>
      <c r="Q16" s="9">
        <f t="shared" si="90"/>
        <v>0.30195803228133983</v>
      </c>
      <c r="R16" s="9">
        <f t="shared" si="90"/>
        <v>0.27968053220264638</v>
      </c>
      <c r="S16" s="9">
        <f t="shared" ref="S16:V16" si="91">S5/S3</f>
        <v>0.28067653444635016</v>
      </c>
      <c r="T16" s="9">
        <f t="shared" si="91"/>
        <v>0.28000000000000003</v>
      </c>
      <c r="U16" s="9">
        <f t="shared" si="91"/>
        <v>0.28999999999999998</v>
      </c>
      <c r="V16" s="9">
        <f t="shared" si="91"/>
        <v>0.28999999999999998</v>
      </c>
      <c r="W16" s="9" t="e">
        <f t="shared" ref="W16:AL16" si="92">W5/W3</f>
        <v>#DIV/0!</v>
      </c>
      <c r="X16" s="9" t="e">
        <f t="shared" si="92"/>
        <v>#DIV/0!</v>
      </c>
      <c r="Y16" s="9" t="e">
        <f t="shared" si="92"/>
        <v>#DIV/0!</v>
      </c>
      <c r="Z16" s="9" t="e">
        <f t="shared" si="92"/>
        <v>#DIV/0!</v>
      </c>
      <c r="AA16" s="9">
        <f t="shared" si="92"/>
        <v>0.28931511499618096</v>
      </c>
      <c r="AB16" s="9">
        <f t="shared" si="92"/>
        <v>0.30161467314626117</v>
      </c>
      <c r="AC16" s="9">
        <f t="shared" si="92"/>
        <v>0.31104410101771579</v>
      </c>
      <c r="AD16" s="9">
        <f t="shared" si="92"/>
        <v>0.29754433002254588</v>
      </c>
      <c r="AE16" s="9">
        <f t="shared" si="92"/>
        <v>0.29970350188316369</v>
      </c>
      <c r="AF16" s="9">
        <f t="shared" si="92"/>
        <v>0.30353430353430355</v>
      </c>
      <c r="AG16" s="9">
        <f t="shared" si="92"/>
        <v>0.31579321624120033</v>
      </c>
      <c r="AH16" s="9">
        <f t="shared" si="92"/>
        <v>0.30452599388379203</v>
      </c>
      <c r="AI16" s="9" t="e">
        <f t="shared" si="92"/>
        <v>#DIV/0!</v>
      </c>
      <c r="AJ16" s="9" t="e">
        <f t="shared" si="92"/>
        <v>#DIV/0!</v>
      </c>
      <c r="AK16" s="9" t="e">
        <f t="shared" si="92"/>
        <v>#DIV/0!</v>
      </c>
      <c r="AL16" s="9" t="e">
        <f t="shared" si="92"/>
        <v>#DIV/0!</v>
      </c>
      <c r="AM16" s="9"/>
      <c r="AO16" s="9">
        <f t="shared" ref="AO16:BB16" si="93">AO5/AO3</f>
        <v>0.28893114659023122</v>
      </c>
      <c r="AP16" s="9">
        <f t="shared" si="93"/>
        <v>0.28588583348942476</v>
      </c>
      <c r="AQ16" s="9">
        <f t="shared" si="93"/>
        <v>0.28456504542512645</v>
      </c>
      <c r="AR16" s="9">
        <f t="shared" si="93"/>
        <v>0.23657777639480976</v>
      </c>
      <c r="AS16" s="9">
        <f t="shared" si="93"/>
        <v>0.28498455200823891</v>
      </c>
      <c r="AT16" s="9">
        <f t="shared" si="93"/>
        <v>0.27609339955142581</v>
      </c>
      <c r="AU16" s="9">
        <f t="shared" si="93"/>
        <v>0.30001659995942231</v>
      </c>
      <c r="AV16" s="9">
        <f t="shared" si="93"/>
        <v>0.30603264726756563</v>
      </c>
      <c r="AW16" s="9">
        <f t="shared" si="93"/>
        <v>0.32</v>
      </c>
      <c r="AX16" s="9">
        <f t="shared" si="93"/>
        <v>0.32</v>
      </c>
      <c r="AY16" s="9">
        <f t="shared" si="93"/>
        <v>0.32</v>
      </c>
      <c r="AZ16" s="9">
        <f t="shared" si="93"/>
        <v>0.32</v>
      </c>
      <c r="BA16" s="9">
        <f t="shared" si="93"/>
        <v>0.32</v>
      </c>
      <c r="BB16" s="9">
        <f t="shared" si="93"/>
        <v>0.32</v>
      </c>
      <c r="BC16" s="9">
        <f t="shared" ref="BC16:BG16" si="94">BC5/BC3</f>
        <v>0.32</v>
      </c>
      <c r="BD16" s="9">
        <f t="shared" si="94"/>
        <v>0.32</v>
      </c>
      <c r="BE16" s="9">
        <f t="shared" si="94"/>
        <v>0.32</v>
      </c>
      <c r="BF16" s="9">
        <f t="shared" si="94"/>
        <v>0.32</v>
      </c>
      <c r="BG16" s="9">
        <f t="shared" si="94"/>
        <v>0.32</v>
      </c>
    </row>
    <row r="17" spans="2:62" x14ac:dyDescent="0.3">
      <c r="B17" t="s">
        <v>39</v>
      </c>
      <c r="C17" s="9">
        <f>C7/C3</f>
        <v>0.10820914696813974</v>
      </c>
      <c r="D17" s="9">
        <f t="shared" ref="D17:R17" si="95">D7/D3</f>
        <v>0.10785263888390358</v>
      </c>
      <c r="E17" s="9">
        <f t="shared" si="95"/>
        <v>0.11732213371071198</v>
      </c>
      <c r="F17" s="9">
        <f t="shared" si="95"/>
        <v>0.10185480854325007</v>
      </c>
      <c r="G17" s="9">
        <f t="shared" si="95"/>
        <v>0.11045380781935167</v>
      </c>
      <c r="H17" s="9">
        <f t="shared" si="95"/>
        <v>0.10669695962962567</v>
      </c>
      <c r="I17" s="9">
        <f t="shared" si="95"/>
        <v>0.10684117323780246</v>
      </c>
      <c r="J17" s="9">
        <f t="shared" si="95"/>
        <v>0.10578487144230847</v>
      </c>
      <c r="K17" s="9">
        <f t="shared" si="95"/>
        <v>0.10102828317668369</v>
      </c>
      <c r="L17" s="9">
        <f t="shared" si="95"/>
        <v>0.1047067964341212</v>
      </c>
      <c r="M17" s="9">
        <f t="shared" si="95"/>
        <v>0.10768038425841754</v>
      </c>
      <c r="N17" s="9">
        <f t="shared" si="95"/>
        <v>0.10890918772784997</v>
      </c>
      <c r="O17" s="9">
        <f t="shared" si="95"/>
        <v>-0.2993263625847718</v>
      </c>
      <c r="P17" s="9">
        <f t="shared" si="95"/>
        <v>-5.2042714020036577E-3</v>
      </c>
      <c r="Q17" s="9">
        <f t="shared" si="95"/>
        <v>0.10565071708855121</v>
      </c>
      <c r="R17" s="9">
        <f t="shared" si="95"/>
        <v>5.0743840924044208E-2</v>
      </c>
      <c r="S17" s="9">
        <f t="shared" ref="S17:V17" si="96">S7/S3</f>
        <v>7.5951500490745269E-2</v>
      </c>
      <c r="T17" s="9">
        <f t="shared" si="96"/>
        <v>8.1500280136881154E-2</v>
      </c>
      <c r="U17" s="9">
        <f t="shared" si="96"/>
        <v>9.7361980418291541E-2</v>
      </c>
      <c r="V17" s="9">
        <f t="shared" si="96"/>
        <v>8.9245632693572954E-2</v>
      </c>
      <c r="W17" s="9" t="e">
        <f t="shared" ref="W17:AL17" si="97">W7/W3</f>
        <v>#DIV/0!</v>
      </c>
      <c r="X17" s="9" t="e">
        <f t="shared" si="97"/>
        <v>#DIV/0!</v>
      </c>
      <c r="Y17" s="9" t="e">
        <f t="shared" si="97"/>
        <v>#DIV/0!</v>
      </c>
      <c r="Z17" s="9" t="e">
        <f t="shared" si="97"/>
        <v>#DIV/0!</v>
      </c>
      <c r="AA17" s="9">
        <f t="shared" si="97"/>
        <v>9.9380463379444964E-2</v>
      </c>
      <c r="AB17" s="9">
        <f t="shared" si="97"/>
        <v>0.1010346449286722</v>
      </c>
      <c r="AC17" s="9">
        <f t="shared" si="97"/>
        <v>0.11669807764794572</v>
      </c>
      <c r="AD17" s="9">
        <f t="shared" si="97"/>
        <v>0.10901224788251783</v>
      </c>
      <c r="AE17" s="9">
        <f t="shared" si="97"/>
        <v>0.10738039907043834</v>
      </c>
      <c r="AF17" s="9">
        <f t="shared" si="97"/>
        <v>0.10558360558360558</v>
      </c>
      <c r="AG17" s="9">
        <f t="shared" si="97"/>
        <v>0.12038683069046434</v>
      </c>
      <c r="AH17" s="9">
        <f t="shared" si="97"/>
        <v>0.11296636085626911</v>
      </c>
      <c r="AI17" s="9" t="e">
        <f t="shared" si="97"/>
        <v>#DIV/0!</v>
      </c>
      <c r="AJ17" s="9" t="e">
        <f t="shared" si="97"/>
        <v>#DIV/0!</v>
      </c>
      <c r="AK17" s="9" t="e">
        <f t="shared" si="97"/>
        <v>#DIV/0!</v>
      </c>
      <c r="AL17" s="9" t="e">
        <f t="shared" si="97"/>
        <v>#DIV/0!</v>
      </c>
      <c r="AM17" s="9"/>
      <c r="AO17" s="9">
        <f t="shared" ref="AO17:BB17" si="98">AO7/AO3</f>
        <v>0.10841052179586581</v>
      </c>
      <c r="AP17" s="9">
        <f t="shared" si="98"/>
        <v>0.10731046445093904</v>
      </c>
      <c r="AQ17" s="9">
        <f t="shared" si="98"/>
        <v>0.10586331711292758</v>
      </c>
      <c r="AR17" s="9">
        <f t="shared" si="98"/>
        <v>8.3953075893830453E-3</v>
      </c>
      <c r="AS17" s="9">
        <f t="shared" si="98"/>
        <v>9.794026776519052E-2</v>
      </c>
      <c r="AT17" s="9">
        <f t="shared" si="98"/>
        <v>9.7324575456584433E-2</v>
      </c>
      <c r="AU17" s="9">
        <f t="shared" si="98"/>
        <v>0.10692218307910803</v>
      </c>
      <c r="AV17" s="9">
        <f t="shared" si="98"/>
        <v>0.11181689141234918</v>
      </c>
      <c r="AW17" s="9">
        <f t="shared" si="98"/>
        <v>0.12197609206919108</v>
      </c>
      <c r="AX17" s="9">
        <f t="shared" si="98"/>
        <v>0.12003468120712432</v>
      </c>
      <c r="AY17" s="9">
        <f t="shared" si="98"/>
        <v>0.12003468120712435</v>
      </c>
      <c r="AZ17" s="9">
        <f t="shared" si="98"/>
        <v>0.12003468120712432</v>
      </c>
      <c r="BA17" s="9">
        <f t="shared" si="98"/>
        <v>0.12003468120712431</v>
      </c>
      <c r="BB17" s="9">
        <f t="shared" si="98"/>
        <v>0.12199512550901526</v>
      </c>
      <c r="BC17" s="9">
        <f t="shared" ref="BC17:BG17" si="99">BC7/BC3</f>
        <v>0.12199512550901527</v>
      </c>
      <c r="BD17" s="9">
        <f t="shared" si="99"/>
        <v>0.12199512550901533</v>
      </c>
      <c r="BE17" s="9">
        <f t="shared" si="99"/>
        <v>0.12199512550901527</v>
      </c>
      <c r="BF17" s="9">
        <f t="shared" si="99"/>
        <v>0.12199512550901527</v>
      </c>
      <c r="BG17" s="9">
        <f t="shared" si="99"/>
        <v>0.12199512550901533</v>
      </c>
      <c r="BI17" t="s">
        <v>41</v>
      </c>
      <c r="BJ17" s="9">
        <v>-0.01</v>
      </c>
    </row>
    <row r="18" spans="2:62" x14ac:dyDescent="0.3">
      <c r="B18" t="s">
        <v>40</v>
      </c>
      <c r="G18" s="9">
        <f t="shared" ref="G18:R18" si="100">G6/C6-1</f>
        <v>9.861150467554558E-2</v>
      </c>
      <c r="H18" s="9">
        <f t="shared" si="100"/>
        <v>0.14565920733351323</v>
      </c>
      <c r="I18" s="9">
        <f t="shared" si="100"/>
        <v>0.13148592349450827</v>
      </c>
      <c r="J18" s="9">
        <f t="shared" si="100"/>
        <v>-3.9250087723695426E-2</v>
      </c>
      <c r="K18" s="9">
        <f t="shared" si="100"/>
        <v>9.7755996904823395E-2</v>
      </c>
      <c r="L18" s="9">
        <f t="shared" si="100"/>
        <v>1.8591516149908838E-2</v>
      </c>
      <c r="M18" s="9">
        <f t="shared" si="100"/>
        <v>5.2105997210599719E-2</v>
      </c>
      <c r="N18" s="9">
        <f t="shared" si="100"/>
        <v>0.11410831681101974</v>
      </c>
      <c r="O18" s="9">
        <f t="shared" si="100"/>
        <v>-0.2282072368421052</v>
      </c>
      <c r="P18" s="9">
        <f t="shared" si="100"/>
        <v>-0.11754173164673942</v>
      </c>
      <c r="Q18" s="9">
        <f t="shared" si="100"/>
        <v>5.3131131024974687E-2</v>
      </c>
      <c r="R18" s="9">
        <f t="shared" si="100"/>
        <v>0.17327775956540048</v>
      </c>
      <c r="S18" s="9">
        <f t="shared" ref="S18" si="101">S6/O6-1</f>
        <v>0.57165689930740538</v>
      </c>
      <c r="T18" s="9">
        <f t="shared" ref="T18" si="102">T6/P6-1</f>
        <v>0.35983767508836229</v>
      </c>
      <c r="U18" s="9">
        <f t="shared" ref="U18" si="103">U6/Q6-1</f>
        <v>5.0000000000000044E-2</v>
      </c>
      <c r="V18" s="9">
        <f t="shared" ref="V18" si="104">V6/R6-1</f>
        <v>-8.80249870275015E-2</v>
      </c>
      <c r="W18" s="9">
        <f t="shared" ref="W18" si="105">W6/S6-1</f>
        <v>-1</v>
      </c>
      <c r="X18" s="9">
        <f t="shared" ref="X18" si="106">X6/T6-1</f>
        <v>-1</v>
      </c>
      <c r="Y18" s="9">
        <f t="shared" ref="Y18" si="107">Y6/U6-1</f>
        <v>-1</v>
      </c>
      <c r="Z18" s="9">
        <f t="shared" ref="Z18" si="108">Z6/V6-1</f>
        <v>-1</v>
      </c>
      <c r="AA18" s="9" t="e">
        <f t="shared" ref="AA18" si="109">AA6/W6-1</f>
        <v>#DIV/0!</v>
      </c>
      <c r="AB18" s="9" t="e">
        <f t="shared" ref="AB18" si="110">AB6/X6-1</f>
        <v>#DIV/0!</v>
      </c>
      <c r="AC18" s="9" t="e">
        <f t="shared" ref="AC18" si="111">AC6/Y6-1</f>
        <v>#DIV/0!</v>
      </c>
      <c r="AD18" s="9" t="e">
        <f t="shared" ref="AD18" si="112">AD6/Z6-1</f>
        <v>#DIV/0!</v>
      </c>
      <c r="AE18" s="9">
        <f t="shared" ref="AE18" si="113">AE6/AA6-1</f>
        <v>7.2386058981233292E-2</v>
      </c>
      <c r="AF18" s="9">
        <f t="shared" ref="AF18" si="114">AF6/AB6-1</f>
        <v>4.1813208284486203E-2</v>
      </c>
      <c r="AG18" s="9">
        <f t="shared" ref="AG18" si="115">AG6/AC6-1</f>
        <v>6.5942591155934815E-2</v>
      </c>
      <c r="AH18" s="9">
        <f t="shared" ref="AH18" si="116">AH6/AD6-1</f>
        <v>1.2281835811247532E-2</v>
      </c>
      <c r="AI18" s="9">
        <f t="shared" ref="AI18" si="117">AI6/AE6-1</f>
        <v>-1</v>
      </c>
      <c r="AJ18" s="9">
        <f t="shared" ref="AJ18" si="118">AJ6/AF6-1</f>
        <v>-1</v>
      </c>
      <c r="AK18" s="9">
        <f t="shared" ref="AK18" si="119">AK6/AG6-1</f>
        <v>-1</v>
      </c>
      <c r="AL18" s="9">
        <f t="shared" ref="AL18" si="120">AL6/AH6-1</f>
        <v>-1</v>
      </c>
      <c r="AM18" s="9"/>
      <c r="AP18" s="9">
        <f t="shared" ref="AP18:BB18" si="121">AP6/AO6-1</f>
        <v>7.4957910507699843E-2</v>
      </c>
      <c r="AQ18" s="9">
        <f t="shared" si="121"/>
        <v>7.1167883211678884E-2</v>
      </c>
      <c r="AR18" s="9">
        <f t="shared" si="121"/>
        <v>-1.6338247327261524E-2</v>
      </c>
      <c r="AS18" s="9">
        <f t="shared" si="121"/>
        <v>0.23835758410494901</v>
      </c>
      <c r="AT18" s="9">
        <f t="shared" si="121"/>
        <v>-1.6958484748375691E-2</v>
      </c>
      <c r="AU18" s="9">
        <f t="shared" si="121"/>
        <v>0.17273440125462081</v>
      </c>
      <c r="AV18" s="9">
        <f t="shared" si="121"/>
        <v>4.5563091030661917E-2</v>
      </c>
      <c r="AW18" s="9">
        <f t="shared" si="121"/>
        <v>4.0000000000000036E-2</v>
      </c>
      <c r="AX18" s="9">
        <f t="shared" si="121"/>
        <v>3.0000000000000027E-2</v>
      </c>
      <c r="AY18" s="9">
        <f t="shared" si="121"/>
        <v>2.0000000000000018E-2</v>
      </c>
      <c r="AZ18" s="9">
        <f t="shared" si="121"/>
        <v>2.0000000000000018E-2</v>
      </c>
      <c r="BA18" s="9">
        <f t="shared" si="121"/>
        <v>2.0000000000000018E-2</v>
      </c>
      <c r="BB18" s="9">
        <f t="shared" si="121"/>
        <v>1.0000000000000009E-2</v>
      </c>
      <c r="BC18" s="9">
        <f t="shared" ref="BC18" si="122">BC6/BB6-1</f>
        <v>1.0000000000000009E-2</v>
      </c>
      <c r="BD18" s="9">
        <f t="shared" ref="BD18" si="123">BD6/BC6-1</f>
        <v>1.0000000000000009E-2</v>
      </c>
      <c r="BE18" s="9">
        <f t="shared" ref="BE18" si="124">BE6/BD6-1</f>
        <v>1.0000000000000009E-2</v>
      </c>
      <c r="BF18" s="9">
        <f t="shared" ref="BF18" si="125">BF6/BE6-1</f>
        <v>1.0000000000000009E-2</v>
      </c>
      <c r="BG18" s="9">
        <f t="shared" ref="BG18" si="126">BG6/BF6-1</f>
        <v>1.0000000000000009E-2</v>
      </c>
      <c r="BI18" t="s">
        <v>42</v>
      </c>
      <c r="BJ18" s="9">
        <v>7.0000000000000007E-2</v>
      </c>
    </row>
    <row r="19" spans="2:62" x14ac:dyDescent="0.3">
      <c r="B19" t="s">
        <v>19</v>
      </c>
      <c r="C19" s="9">
        <f>C10/C9</f>
        <v>0.3557957957957959</v>
      </c>
      <c r="D19" s="9">
        <f t="shared" ref="D19:BB19" si="127">D10/D9</f>
        <v>0.37983626780307234</v>
      </c>
      <c r="E19" s="9">
        <f t="shared" si="127"/>
        <v>0.37117647058823505</v>
      </c>
      <c r="F19" s="9">
        <f t="shared" si="127"/>
        <v>0.21136384069046096</v>
      </c>
      <c r="G19" s="9">
        <f t="shared" si="127"/>
        <v>0.25031393888656317</v>
      </c>
      <c r="H19" s="9">
        <f t="shared" si="127"/>
        <v>0.25478541204916377</v>
      </c>
      <c r="I19" s="9">
        <f t="shared" si="127"/>
        <v>0.27164150582839691</v>
      </c>
      <c r="J19" s="9">
        <f t="shared" si="127"/>
        <v>0.28593246224333979</v>
      </c>
      <c r="K19" s="9">
        <f t="shared" si="127"/>
        <v>0.2521340162185231</v>
      </c>
      <c r="L19" s="9">
        <f t="shared" si="127"/>
        <v>0.25682953098991479</v>
      </c>
      <c r="M19" s="9">
        <f t="shared" si="127"/>
        <v>0.26191961500757527</v>
      </c>
      <c r="N19" s="9">
        <f t="shared" si="127"/>
        <v>0.25748322400663487</v>
      </c>
      <c r="O19" s="9">
        <f t="shared" si="127"/>
        <v>0.33906633906633898</v>
      </c>
      <c r="P19" s="9">
        <f t="shared" si="127"/>
        <v>-1.3282608695652234</v>
      </c>
      <c r="Q19" s="9">
        <f t="shared" si="127"/>
        <v>0.14694881889763792</v>
      </c>
      <c r="R19" s="9">
        <f t="shared" si="127"/>
        <v>0.35930735930735885</v>
      </c>
      <c r="S19" s="9">
        <f t="shared" ref="S19:V19" si="128">S10/S9</f>
        <v>0.25977266426393114</v>
      </c>
      <c r="T19" s="9">
        <f t="shared" si="128"/>
        <v>0.27</v>
      </c>
      <c r="U19" s="9">
        <f t="shared" si="128"/>
        <v>0.27</v>
      </c>
      <c r="V19" s="9">
        <f t="shared" si="128"/>
        <v>0.27</v>
      </c>
      <c r="W19" s="9" t="e">
        <f t="shared" ref="W19:AL19" si="129">W10/W9</f>
        <v>#DIV/0!</v>
      </c>
      <c r="X19" s="9" t="e">
        <f t="shared" si="129"/>
        <v>#DIV/0!</v>
      </c>
      <c r="Y19" s="9" t="e">
        <f t="shared" si="129"/>
        <v>#DIV/0!</v>
      </c>
      <c r="Z19" s="9" t="e">
        <f t="shared" si="129"/>
        <v>#DIV/0!</v>
      </c>
      <c r="AA19" s="9">
        <f t="shared" si="129"/>
        <v>0.26241721854304634</v>
      </c>
      <c r="AB19" s="9">
        <f t="shared" si="129"/>
        <v>0.25470987189148453</v>
      </c>
      <c r="AC19" s="9">
        <f t="shared" si="129"/>
        <v>0.25047199496538702</v>
      </c>
      <c r="AD19" s="9">
        <f t="shared" si="129"/>
        <v>0.23874118285404233</v>
      </c>
      <c r="AE19" s="9">
        <f t="shared" si="129"/>
        <v>0.23021582733812951</v>
      </c>
      <c r="AF19" s="9">
        <f t="shared" si="129"/>
        <v>0.25136239782016351</v>
      </c>
      <c r="AG19" s="9">
        <f t="shared" si="129"/>
        <v>0.25288018433179721</v>
      </c>
      <c r="AH19" s="9">
        <f t="shared" si="129"/>
        <v>0.25992588671254629</v>
      </c>
      <c r="AI19" s="9" t="e">
        <f t="shared" si="129"/>
        <v>#DIV/0!</v>
      </c>
      <c r="AJ19" s="9" t="e">
        <f t="shared" si="129"/>
        <v>#DIV/0!</v>
      </c>
      <c r="AK19" s="9" t="e">
        <f t="shared" si="129"/>
        <v>#DIV/0!</v>
      </c>
      <c r="AL19" s="9" t="e">
        <f t="shared" si="129"/>
        <v>#DIV/0!</v>
      </c>
      <c r="AM19" s="9"/>
      <c r="AO19" s="9">
        <f t="shared" si="127"/>
        <v>0.32376507195643633</v>
      </c>
      <c r="AP19" s="9">
        <f t="shared" si="127"/>
        <v>0.26678487564096409</v>
      </c>
      <c r="AQ19" s="9">
        <f t="shared" si="127"/>
        <v>0.25732374231319066</v>
      </c>
      <c r="AR19" s="9">
        <f t="shared" si="127"/>
        <v>-1.4590347923680587E-2</v>
      </c>
      <c r="AS19" s="9">
        <f t="shared" si="127"/>
        <v>0.25352432924056389</v>
      </c>
      <c r="AT19" s="9">
        <f t="shared" si="127"/>
        <v>0.24547023295944781</v>
      </c>
      <c r="AU19" s="9">
        <f t="shared" si="127"/>
        <v>0.25020948550360317</v>
      </c>
      <c r="AV19" s="9">
        <f t="shared" si="127"/>
        <v>0.24973006324232608</v>
      </c>
      <c r="AW19" s="9">
        <f t="shared" si="127"/>
        <v>0.25</v>
      </c>
      <c r="AX19" s="9">
        <f t="shared" si="127"/>
        <v>0.25</v>
      </c>
      <c r="AY19" s="9">
        <f t="shared" si="127"/>
        <v>0.25</v>
      </c>
      <c r="AZ19" s="9">
        <f t="shared" si="127"/>
        <v>0.25</v>
      </c>
      <c r="BA19" s="9">
        <f t="shared" si="127"/>
        <v>0.25</v>
      </c>
      <c r="BB19" s="9">
        <f t="shared" si="127"/>
        <v>0.25</v>
      </c>
      <c r="BC19" s="9">
        <f t="shared" ref="BC19:BG19" si="130">BC10/BC9</f>
        <v>0.25</v>
      </c>
      <c r="BD19" s="9">
        <f t="shared" si="130"/>
        <v>0.25</v>
      </c>
      <c r="BE19" s="9">
        <f t="shared" si="130"/>
        <v>0.25</v>
      </c>
      <c r="BF19" s="9">
        <f t="shared" si="130"/>
        <v>0.25</v>
      </c>
      <c r="BG19" s="9">
        <f t="shared" si="130"/>
        <v>0.25</v>
      </c>
      <c r="BI19" t="s">
        <v>43</v>
      </c>
      <c r="BJ19" s="4">
        <f>NPV(BJ18,AS11:FJ11)</f>
        <v>73648.361062329102</v>
      </c>
    </row>
    <row r="20" spans="2:62" x14ac:dyDescent="0.3">
      <c r="B20" t="s">
        <v>54</v>
      </c>
      <c r="C20" s="9">
        <f>C11/C3</f>
        <v>6.889773895169575E-2</v>
      </c>
      <c r="D20" s="9">
        <f t="shared" ref="D20:BB20" si="131">D11/D3</f>
        <v>6.6166529069002347E-2</v>
      </c>
      <c r="E20" s="9">
        <f t="shared" si="131"/>
        <v>7.3200794321060997E-2</v>
      </c>
      <c r="F20" s="9">
        <f t="shared" si="131"/>
        <v>8.0031384856806706E-2</v>
      </c>
      <c r="G20" s="9">
        <f t="shared" si="131"/>
        <v>8.2451920310288182E-2</v>
      </c>
      <c r="H20" s="9">
        <f t="shared" si="131"/>
        <v>7.9272540214980022E-2</v>
      </c>
      <c r="I20" s="9">
        <f t="shared" si="131"/>
        <v>7.758146919334806E-2</v>
      </c>
      <c r="J20" s="9">
        <f t="shared" si="131"/>
        <v>7.5633801551139898E-2</v>
      </c>
      <c r="K20" s="9">
        <f t="shared" si="131"/>
        <v>7.5547555402259256E-2</v>
      </c>
      <c r="L20" s="9">
        <f t="shared" si="131"/>
        <v>7.7594667539052919E-2</v>
      </c>
      <c r="M20" s="9">
        <f t="shared" si="131"/>
        <v>7.9243730445016342E-2</v>
      </c>
      <c r="N20" s="9">
        <f t="shared" si="131"/>
        <v>8.0678327120796353E-2</v>
      </c>
      <c r="O20" s="9">
        <f t="shared" si="131"/>
        <v>-0.20134273855156626</v>
      </c>
      <c r="P20" s="9">
        <f t="shared" si="131"/>
        <v>-3.2125502429659787E-2</v>
      </c>
      <c r="Q20" s="9">
        <f t="shared" si="131"/>
        <v>8.5665147816116866E-2</v>
      </c>
      <c r="R20" s="9">
        <f t="shared" si="131"/>
        <v>2.9753636961766264E-2</v>
      </c>
      <c r="S20" s="9">
        <f t="shared" si="131"/>
        <v>5.2941001516848947E-2</v>
      </c>
      <c r="T20" s="9">
        <f t="shared" si="131"/>
        <v>5.6689259101009082E-2</v>
      </c>
      <c r="U20" s="9">
        <f t="shared" si="131"/>
        <v>6.8632687981195512E-2</v>
      </c>
      <c r="V20" s="9">
        <f t="shared" si="131"/>
        <v>6.3059148480686278E-2</v>
      </c>
      <c r="W20" s="9" t="e">
        <f t="shared" ref="W20:AL20" si="132">W11/W3</f>
        <v>#DIV/0!</v>
      </c>
      <c r="X20" s="9" t="e">
        <f t="shared" si="132"/>
        <v>#DIV/0!</v>
      </c>
      <c r="Y20" s="9" t="e">
        <f t="shared" si="132"/>
        <v>#DIV/0!</v>
      </c>
      <c r="Z20" s="9" t="e">
        <f t="shared" si="132"/>
        <v>#DIV/0!</v>
      </c>
      <c r="AA20" s="9">
        <f t="shared" si="132"/>
        <v>7.5617414919799716E-2</v>
      </c>
      <c r="AB20" s="9">
        <f t="shared" si="132"/>
        <v>7.7519987458849346E-2</v>
      </c>
      <c r="AC20" s="9">
        <f t="shared" si="132"/>
        <v>8.9785148888051267E-2</v>
      </c>
      <c r="AD20" s="9">
        <f t="shared" si="132"/>
        <v>8.5491438669185307E-2</v>
      </c>
      <c r="AE20" s="9">
        <f t="shared" si="132"/>
        <v>8.5744050004006728E-2</v>
      </c>
      <c r="AF20" s="9">
        <f t="shared" si="132"/>
        <v>8.1600831600831605E-2</v>
      </c>
      <c r="AG20" s="9">
        <f t="shared" si="132"/>
        <v>9.2227831899310247E-2</v>
      </c>
      <c r="AH20" s="9">
        <f t="shared" si="132"/>
        <v>8.5504587155963305E-2</v>
      </c>
      <c r="AI20" s="9" t="e">
        <f t="shared" si="132"/>
        <v>#DIV/0!</v>
      </c>
      <c r="AJ20" s="9" t="e">
        <f t="shared" si="132"/>
        <v>#DIV/0!</v>
      </c>
      <c r="AK20" s="9" t="e">
        <f t="shared" si="132"/>
        <v>#DIV/0!</v>
      </c>
      <c r="AL20" s="9" t="e">
        <f t="shared" si="132"/>
        <v>#DIV/0!</v>
      </c>
      <c r="AM20" s="9"/>
      <c r="AO20" s="9">
        <f t="shared" si="131"/>
        <v>7.2715156449535454E-2</v>
      </c>
      <c r="AP20" s="9">
        <f t="shared" si="131"/>
        <v>7.8516097082844807E-2</v>
      </c>
      <c r="AQ20" s="9">
        <f t="shared" si="131"/>
        <v>7.8454826569504046E-2</v>
      </c>
      <c r="AR20" s="9">
        <f t="shared" si="131"/>
        <v>2.8129570277251425E-3</v>
      </c>
      <c r="AS20" s="9">
        <f t="shared" si="131"/>
        <v>6.7621009268795051E-2</v>
      </c>
      <c r="AT20" s="9">
        <f t="shared" si="131"/>
        <v>7.0049663569368786E-2</v>
      </c>
      <c r="AU20" s="9">
        <f t="shared" si="131"/>
        <v>8.2520242728295556E-2</v>
      </c>
      <c r="AV20" s="9">
        <f t="shared" si="131"/>
        <v>8.6302342086586228E-2</v>
      </c>
      <c r="AW20" s="9">
        <f t="shared" si="131"/>
        <v>9.4005761282511605E-2</v>
      </c>
      <c r="AX20" s="9">
        <f t="shared" si="131"/>
        <v>9.0717229738302901E-2</v>
      </c>
      <c r="AY20" s="9">
        <f t="shared" si="131"/>
        <v>9.0693049359301364E-2</v>
      </c>
      <c r="AZ20" s="9">
        <f t="shared" si="131"/>
        <v>9.0692871562396929E-2</v>
      </c>
      <c r="BA20" s="9">
        <f t="shared" si="131"/>
        <v>9.0692870255066754E-2</v>
      </c>
      <c r="BB20" s="9">
        <f t="shared" si="131"/>
        <v>9.2163203471872249E-2</v>
      </c>
      <c r="BC20" s="9">
        <f t="shared" ref="BC20:BG20" si="133">BC11/BC3</f>
        <v>9.2180724355562474E-2</v>
      </c>
      <c r="BD20" s="9">
        <f t="shared" si="133"/>
        <v>9.2180854461134484E-2</v>
      </c>
      <c r="BE20" s="9">
        <f t="shared" si="133"/>
        <v>9.2180855427264924E-2</v>
      </c>
      <c r="BF20" s="9">
        <f t="shared" si="133"/>
        <v>9.2180855434439157E-2</v>
      </c>
      <c r="BG20" s="9">
        <f t="shared" si="133"/>
        <v>9.218085543449249E-2</v>
      </c>
      <c r="BI20" t="s">
        <v>45</v>
      </c>
      <c r="BJ20" s="4">
        <f>Main!D8</f>
        <v>2469</v>
      </c>
    </row>
    <row r="21" spans="2:62" x14ac:dyDescent="0.3">
      <c r="BI21" t="s">
        <v>44</v>
      </c>
      <c r="BJ21" s="4">
        <f>BJ19+BJ20</f>
        <v>76117.361062329102</v>
      </c>
    </row>
    <row r="22" spans="2:62" x14ac:dyDescent="0.3">
      <c r="BI22" t="s">
        <v>46</v>
      </c>
      <c r="BJ22" s="11">
        <f>BJ21/BB12</f>
        <v>68.138359200008153</v>
      </c>
    </row>
    <row r="23" spans="2:62" x14ac:dyDescent="0.3">
      <c r="BI23" t="s">
        <v>47</v>
      </c>
      <c r="BJ23" s="11">
        <f>Main!D3</f>
        <v>126.5</v>
      </c>
    </row>
    <row r="24" spans="2:62" x14ac:dyDescent="0.3">
      <c r="BI24" s="1" t="s">
        <v>48</v>
      </c>
      <c r="BJ24" s="10">
        <f>BJ22/BJ23-1</f>
        <v>-0.46135684426871026</v>
      </c>
    </row>
    <row r="25" spans="2:62" x14ac:dyDescent="0.3">
      <c r="BI25" t="s">
        <v>49</v>
      </c>
      <c r="BJ25" s="5" t="s">
        <v>71</v>
      </c>
    </row>
  </sheetData>
  <phoneticPr fontId="3" type="noConversion"/>
  <pageMargins left="0.7" right="0.7" top="0.75" bottom="0.75" header="0.3" footer="0.3"/>
  <pageSetup paperSize="9" orientation="portrait" horizontalDpi="4294967293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</dc:creator>
  <cp:lastModifiedBy>Anton Mniszek</cp:lastModifiedBy>
  <dcterms:created xsi:type="dcterms:W3CDTF">2021-01-06T08:54:52Z</dcterms:created>
  <dcterms:modified xsi:type="dcterms:W3CDTF">2025-04-26T08:54:22Z</dcterms:modified>
</cp:coreProperties>
</file>