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306766CD-2141-43D7-A9E3-18CDAD97B014}" xr6:coauthVersionLast="46" xr6:coauthVersionMax="46" xr10:uidLastSave="{00000000-0000-0000-0000-000000000000}"/>
  <bookViews>
    <workbookView xWindow="-108" yWindow="-108" windowWidth="23256" windowHeight="12576" activeTab="1" xr2:uid="{293EE719-AEB1-43A9-8AC3-A334237D7F43}"/>
  </bookViews>
  <sheets>
    <sheet name="Main" sheetId="1" r:id="rId1"/>
    <sheet name="Model" sheetId="4" r:id="rId2"/>
    <sheet name="Currency" sheetId="3" r:id="rId3"/>
  </sheets>
  <definedNames>
    <definedName name="ExternalData_1" localSheetId="2" hidden="1">Currency!$A$1:$K$2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P3" i="4" s="1"/>
  <c r="Q3" i="4" s="1"/>
  <c r="R3" i="4" s="1"/>
  <c r="S3" i="4" s="1"/>
  <c r="AB26" i="4"/>
  <c r="R6" i="4"/>
  <c r="Q6" i="4"/>
  <c r="R16" i="4"/>
  <c r="S16" i="4" s="1"/>
  <c r="T16" i="4" s="1"/>
  <c r="U16" i="4" s="1"/>
  <c r="V16" i="4" s="1"/>
  <c r="W16" i="4" s="1"/>
  <c r="X16" i="4" s="1"/>
  <c r="Y16" i="4" s="1"/>
  <c r="Q16" i="4"/>
  <c r="Y13" i="4"/>
  <c r="X13" i="4"/>
  <c r="W13" i="4"/>
  <c r="V13" i="4"/>
  <c r="U13" i="4"/>
  <c r="T13" i="4"/>
  <c r="S13" i="4"/>
  <c r="R13" i="4"/>
  <c r="Q13" i="4"/>
  <c r="P16" i="4"/>
  <c r="P12" i="4"/>
  <c r="P11" i="4"/>
  <c r="P10" i="4"/>
  <c r="P9" i="4"/>
  <c r="Q9" i="4" s="1"/>
  <c r="R9" i="4" s="1"/>
  <c r="S9" i="4" s="1"/>
  <c r="T9" i="4" s="1"/>
  <c r="U9" i="4" s="1"/>
  <c r="V9" i="4" s="1"/>
  <c r="W9" i="4" s="1"/>
  <c r="X9" i="4" s="1"/>
  <c r="Y9" i="4" s="1"/>
  <c r="P8" i="4"/>
  <c r="Q8" i="4" s="1"/>
  <c r="R8" i="4" s="1"/>
  <c r="S8" i="4" s="1"/>
  <c r="T8" i="4" s="1"/>
  <c r="U8" i="4" s="1"/>
  <c r="V8" i="4" s="1"/>
  <c r="W8" i="4" s="1"/>
  <c r="X8" i="4" s="1"/>
  <c r="Y8" i="4" s="1"/>
  <c r="P6" i="4"/>
  <c r="Q12" i="4"/>
  <c r="R12" i="4" s="1"/>
  <c r="S12" i="4" s="1"/>
  <c r="T12" i="4" s="1"/>
  <c r="U12" i="4" s="1"/>
  <c r="V12" i="4" s="1"/>
  <c r="W12" i="4" s="1"/>
  <c r="X12" i="4" s="1"/>
  <c r="Y12" i="4" s="1"/>
  <c r="Q11" i="4"/>
  <c r="R11" i="4" s="1"/>
  <c r="S11" i="4" s="1"/>
  <c r="T11" i="4" s="1"/>
  <c r="U11" i="4" s="1"/>
  <c r="V11" i="4" s="1"/>
  <c r="W11" i="4" s="1"/>
  <c r="X11" i="4" s="1"/>
  <c r="Y11" i="4" s="1"/>
  <c r="Q10" i="4"/>
  <c r="R10" i="4" s="1"/>
  <c r="S10" i="4" s="1"/>
  <c r="T10" i="4" s="1"/>
  <c r="U10" i="4" s="1"/>
  <c r="V10" i="4" s="1"/>
  <c r="W10" i="4" s="1"/>
  <c r="X10" i="4" s="1"/>
  <c r="Y10" i="4" s="1"/>
  <c r="H18" i="4"/>
  <c r="G18" i="4"/>
  <c r="F18" i="4"/>
  <c r="E18" i="4"/>
  <c r="I18" i="4"/>
  <c r="J13" i="4"/>
  <c r="J6" i="4"/>
  <c r="J24" i="4" s="1"/>
  <c r="I24" i="4"/>
  <c r="H24" i="4"/>
  <c r="O12" i="4"/>
  <c r="O11" i="4"/>
  <c r="O10" i="4"/>
  <c r="O9" i="4"/>
  <c r="O8" i="4"/>
  <c r="D18" i="4"/>
  <c r="C18" i="4"/>
  <c r="I16" i="4"/>
  <c r="H16" i="4"/>
  <c r="G16" i="4"/>
  <c r="E16" i="4"/>
  <c r="D16" i="4"/>
  <c r="C16" i="4"/>
  <c r="I15" i="4"/>
  <c r="H15" i="4"/>
  <c r="G15" i="4"/>
  <c r="E15" i="4"/>
  <c r="D15" i="4"/>
  <c r="C15" i="4"/>
  <c r="I12" i="4"/>
  <c r="H12" i="4"/>
  <c r="G12" i="4"/>
  <c r="E12" i="4"/>
  <c r="D12" i="4"/>
  <c r="C12" i="4"/>
  <c r="I11" i="4"/>
  <c r="H11" i="4"/>
  <c r="G11" i="4"/>
  <c r="E11" i="4"/>
  <c r="D11" i="4"/>
  <c r="C11" i="4"/>
  <c r="I10" i="4"/>
  <c r="H10" i="4"/>
  <c r="G10" i="4"/>
  <c r="E10" i="4"/>
  <c r="D10" i="4"/>
  <c r="C10" i="4"/>
  <c r="I9" i="4"/>
  <c r="H9" i="4"/>
  <c r="G9" i="4"/>
  <c r="E9" i="4"/>
  <c r="D9" i="4"/>
  <c r="C9" i="4"/>
  <c r="I8" i="4"/>
  <c r="H8" i="4"/>
  <c r="G8" i="4"/>
  <c r="E8" i="4"/>
  <c r="D8" i="4"/>
  <c r="C8" i="4"/>
  <c r="I6" i="4"/>
  <c r="H6" i="4"/>
  <c r="G6" i="4"/>
  <c r="G24" i="4" s="1"/>
  <c r="E6" i="4"/>
  <c r="D6" i="4"/>
  <c r="C6" i="4"/>
  <c r="I3" i="4"/>
  <c r="H3" i="4"/>
  <c r="G3" i="4"/>
  <c r="E3" i="4"/>
  <c r="D3" i="4"/>
  <c r="C3" i="4"/>
  <c r="O42" i="4"/>
  <c r="F44" i="4"/>
  <c r="F15" i="4" s="1"/>
  <c r="F41" i="4"/>
  <c r="F12" i="4" s="1"/>
  <c r="F40" i="4"/>
  <c r="F11" i="4" s="1"/>
  <c r="F39" i="4"/>
  <c r="F10" i="4" s="1"/>
  <c r="F38" i="4"/>
  <c r="F9" i="4" s="1"/>
  <c r="F37" i="4"/>
  <c r="F8" i="4" s="1"/>
  <c r="F35" i="4"/>
  <c r="F6" i="4" s="1"/>
  <c r="F32" i="4"/>
  <c r="F3" i="4" s="1"/>
  <c r="C33" i="4"/>
  <c r="C34" i="4" s="1"/>
  <c r="C36" i="4" s="1"/>
  <c r="C7" i="4" s="1"/>
  <c r="C23" i="4" s="1"/>
  <c r="C42" i="4"/>
  <c r="C13" i="4" s="1"/>
  <c r="G33" i="4"/>
  <c r="G34" i="4" s="1"/>
  <c r="G36" i="4" s="1"/>
  <c r="G7" i="4" s="1"/>
  <c r="G23" i="4" s="1"/>
  <c r="G42" i="4"/>
  <c r="G13" i="4" s="1"/>
  <c r="D33" i="4"/>
  <c r="D34" i="4" s="1"/>
  <c r="D36" i="4" s="1"/>
  <c r="D7" i="4" s="1"/>
  <c r="D42" i="4"/>
  <c r="D13" i="4" s="1"/>
  <c r="H33" i="4"/>
  <c r="H34" i="4" s="1"/>
  <c r="H36" i="4" s="1"/>
  <c r="H7" i="4" s="1"/>
  <c r="H42" i="4"/>
  <c r="H13" i="4" s="1"/>
  <c r="E33" i="4"/>
  <c r="E34" i="4" s="1"/>
  <c r="E36" i="4" s="1"/>
  <c r="E7" i="4" s="1"/>
  <c r="E23" i="4" s="1"/>
  <c r="E42" i="4"/>
  <c r="E13" i="4" s="1"/>
  <c r="I42" i="4"/>
  <c r="I13" i="4" s="1"/>
  <c r="I33" i="4"/>
  <c r="I34" i="4" s="1"/>
  <c r="I36" i="4" s="1"/>
  <c r="I7" i="4" s="1"/>
  <c r="I23" i="4" s="1"/>
  <c r="D7" i="1"/>
  <c r="D6" i="1"/>
  <c r="T3" i="4" l="1"/>
  <c r="U3" i="4" s="1"/>
  <c r="V3" i="4" s="1"/>
  <c r="S6" i="4"/>
  <c r="T6" i="4" s="1"/>
  <c r="U6" i="4" s="1"/>
  <c r="V6" i="4" s="1"/>
  <c r="W6" i="4" s="1"/>
  <c r="X6" i="4" s="1"/>
  <c r="Y6" i="4" s="1"/>
  <c r="P13" i="4"/>
  <c r="G21" i="4"/>
  <c r="H23" i="4"/>
  <c r="H21" i="4"/>
  <c r="D23" i="4"/>
  <c r="I21" i="4"/>
  <c r="J5" i="4"/>
  <c r="J21" i="4"/>
  <c r="G4" i="4"/>
  <c r="G5" i="4"/>
  <c r="G22" i="4" s="1"/>
  <c r="H4" i="4"/>
  <c r="I5" i="4"/>
  <c r="I22" i="4" s="1"/>
  <c r="I4" i="4"/>
  <c r="C5" i="4"/>
  <c r="C22" i="4" s="1"/>
  <c r="H5" i="4"/>
  <c r="H22" i="4" s="1"/>
  <c r="C4" i="4"/>
  <c r="D5" i="4"/>
  <c r="D22" i="4" s="1"/>
  <c r="D4" i="4"/>
  <c r="E5" i="4"/>
  <c r="E22" i="4" s="1"/>
  <c r="E4" i="4"/>
  <c r="I43" i="4"/>
  <c r="F42" i="4"/>
  <c r="F13" i="4" s="1"/>
  <c r="C43" i="4"/>
  <c r="G43" i="4"/>
  <c r="D43" i="4"/>
  <c r="H43" i="4"/>
  <c r="E43" i="4"/>
  <c r="L45" i="4"/>
  <c r="L18" i="4"/>
  <c r="L33" i="4"/>
  <c r="L34" i="4" s="1"/>
  <c r="L36" i="4" s="1"/>
  <c r="L43" i="4" s="1"/>
  <c r="AB29" i="4"/>
  <c r="O18" i="4"/>
  <c r="N18" i="4"/>
  <c r="M18" i="4"/>
  <c r="P48" i="4"/>
  <c r="P44" i="4"/>
  <c r="P45" i="4" s="1"/>
  <c r="P42" i="4"/>
  <c r="P34" i="4"/>
  <c r="P35" i="4" s="1"/>
  <c r="O45" i="4"/>
  <c r="F45" i="4" s="1"/>
  <c r="F16" i="4" s="1"/>
  <c r="O33" i="4"/>
  <c r="N45" i="4"/>
  <c r="N33" i="4"/>
  <c r="J22" i="4" l="1"/>
  <c r="J7" i="4"/>
  <c r="J4" i="4"/>
  <c r="P4" i="4" s="1"/>
  <c r="P5" i="4" s="1"/>
  <c r="P7" i="4" s="1"/>
  <c r="P14" i="4" s="1"/>
  <c r="D46" i="4"/>
  <c r="D14" i="4"/>
  <c r="D25" i="4" s="1"/>
  <c r="C46" i="4"/>
  <c r="C14" i="4"/>
  <c r="C25" i="4" s="1"/>
  <c r="E46" i="4"/>
  <c r="E14" i="4"/>
  <c r="E25" i="4" s="1"/>
  <c r="H46" i="4"/>
  <c r="H14" i="4"/>
  <c r="H25" i="4" s="1"/>
  <c r="G46" i="4"/>
  <c r="G14" i="4"/>
  <c r="G25" i="4" s="1"/>
  <c r="I46" i="4"/>
  <c r="I14" i="4"/>
  <c r="I25" i="4" s="1"/>
  <c r="O34" i="4"/>
  <c r="O36" i="4" s="1"/>
  <c r="O43" i="4" s="1"/>
  <c r="O46" i="4" s="1"/>
  <c r="O48" i="4" s="1"/>
  <c r="F33" i="4"/>
  <c r="L46" i="4"/>
  <c r="N34" i="4"/>
  <c r="P33" i="4"/>
  <c r="D13" i="1"/>
  <c r="I15" i="1" s="1"/>
  <c r="J14" i="4" l="1"/>
  <c r="J15" i="4" s="1"/>
  <c r="P15" i="4" s="1"/>
  <c r="P17" i="4" s="1"/>
  <c r="P19" i="4" s="1"/>
  <c r="J23" i="4"/>
  <c r="F34" i="4"/>
  <c r="F4" i="4"/>
  <c r="E48" i="4"/>
  <c r="E19" i="4" s="1"/>
  <c r="E17" i="4"/>
  <c r="C48" i="4"/>
  <c r="C19" i="4" s="1"/>
  <c r="C17" i="4"/>
  <c r="H48" i="4"/>
  <c r="H19" i="4" s="1"/>
  <c r="H17" i="4"/>
  <c r="I48" i="4"/>
  <c r="I19" i="4" s="1"/>
  <c r="I17" i="4"/>
  <c r="G48" i="4"/>
  <c r="G19" i="4" s="1"/>
  <c r="G17" i="4"/>
  <c r="D48" i="4"/>
  <c r="D19" i="4" s="1"/>
  <c r="D17" i="4"/>
  <c r="L5" i="4"/>
  <c r="M15" i="4"/>
  <c r="M6" i="4"/>
  <c r="L4" i="4"/>
  <c r="O4" i="4"/>
  <c r="L3" i="4"/>
  <c r="O13" i="4"/>
  <c r="L15" i="4"/>
  <c r="N13" i="4"/>
  <c r="O3" i="4"/>
  <c r="O6" i="4"/>
  <c r="L6" i="4"/>
  <c r="N6" i="4"/>
  <c r="N24" i="4" s="1"/>
  <c r="L14" i="4"/>
  <c r="M13" i="4"/>
  <c r="N3" i="4"/>
  <c r="O15" i="4"/>
  <c r="N15" i="4"/>
  <c r="L13" i="4"/>
  <c r="M3" i="4"/>
  <c r="L7" i="4"/>
  <c r="N16" i="4"/>
  <c r="N4" i="4"/>
  <c r="O17" i="4"/>
  <c r="P22" i="4"/>
  <c r="P24" i="4"/>
  <c r="O14" i="4"/>
  <c r="O16" i="4"/>
  <c r="O7" i="4"/>
  <c r="O5" i="4"/>
  <c r="L16" i="4"/>
  <c r="L48" i="4"/>
  <c r="L19" i="4" s="1"/>
  <c r="L17" i="4"/>
  <c r="N36" i="4"/>
  <c r="N5" i="4"/>
  <c r="M45" i="4"/>
  <c r="M16" i="4" s="1"/>
  <c r="M33" i="4"/>
  <c r="M4" i="4" s="1"/>
  <c r="D9" i="1"/>
  <c r="D8" i="1"/>
  <c r="D10" i="1"/>
  <c r="F3" i="1"/>
  <c r="D5" i="1"/>
  <c r="L22" i="4" l="1"/>
  <c r="J25" i="4"/>
  <c r="O24" i="4"/>
  <c r="M24" i="4"/>
  <c r="N22" i="4"/>
  <c r="O22" i="4"/>
  <c r="O23" i="4"/>
  <c r="F36" i="4"/>
  <c r="F5" i="4"/>
  <c r="F22" i="4" s="1"/>
  <c r="O25" i="4"/>
  <c r="L23" i="4"/>
  <c r="M21" i="4"/>
  <c r="P21" i="4"/>
  <c r="P23" i="4"/>
  <c r="L25" i="4"/>
  <c r="O19" i="4"/>
  <c r="P25" i="4"/>
  <c r="O21" i="4"/>
  <c r="N21" i="4"/>
  <c r="M34" i="4"/>
  <c r="M5" i="4" s="1"/>
  <c r="M22" i="4" s="1"/>
  <c r="N43" i="4"/>
  <c r="N7" i="4"/>
  <c r="N23" i="4" s="1"/>
  <c r="D11" i="1"/>
  <c r="J17" i="4" l="1"/>
  <c r="J19" i="4" s="1"/>
  <c r="F43" i="4"/>
  <c r="F7" i="4"/>
  <c r="F23" i="4" s="1"/>
  <c r="M36" i="4"/>
  <c r="M7" i="4" s="1"/>
  <c r="M23" i="4" s="1"/>
  <c r="Q5" i="4"/>
  <c r="Q22" i="4" s="1"/>
  <c r="Q21" i="4"/>
  <c r="N46" i="4"/>
  <c r="N14" i="4"/>
  <c r="N25" i="4" s="1"/>
  <c r="F46" i="4" l="1"/>
  <c r="F14" i="4"/>
  <c r="F25" i="4" s="1"/>
  <c r="M43" i="4"/>
  <c r="M14" i="4" s="1"/>
  <c r="M25" i="4" s="1"/>
  <c r="Q4" i="4"/>
  <c r="R21" i="4"/>
  <c r="R5" i="4"/>
  <c r="N48" i="4"/>
  <c r="N17" i="4"/>
  <c r="N19" i="4" s="1"/>
  <c r="F48" i="4" l="1"/>
  <c r="F19" i="4" s="1"/>
  <c r="F17" i="4"/>
  <c r="R4" i="4"/>
  <c r="R22" i="4"/>
  <c r="M46" i="4"/>
  <c r="M48" i="4" s="1"/>
  <c r="S5" i="4"/>
  <c r="S22" i="4" s="1"/>
  <c r="S21" i="4"/>
  <c r="M17" i="4" l="1"/>
  <c r="M19" i="4" s="1"/>
  <c r="S4" i="4"/>
  <c r="T21" i="4"/>
  <c r="T5" i="4"/>
  <c r="T4" i="4" l="1"/>
  <c r="T22" i="4"/>
  <c r="U21" i="4"/>
  <c r="U5" i="4"/>
  <c r="U22" i="4" s="1"/>
  <c r="U4" i="4" l="1"/>
  <c r="W3" i="4"/>
  <c r="V5" i="4"/>
  <c r="V22" i="4" s="1"/>
  <c r="V21" i="4"/>
  <c r="X3" i="4" l="1"/>
  <c r="W21" i="4"/>
  <c r="W5" i="4"/>
  <c r="W22" i="4" s="1"/>
  <c r="V4" i="4"/>
  <c r="Y3" i="4" l="1"/>
  <c r="X21" i="4"/>
  <c r="X5" i="4"/>
  <c r="X22" i="4" s="1"/>
  <c r="W4" i="4"/>
  <c r="Y5" i="4" l="1"/>
  <c r="Y21" i="4"/>
  <c r="X4" i="4"/>
  <c r="Y4" i="4" l="1"/>
  <c r="Y22" i="4"/>
  <c r="Q7" i="4" l="1"/>
  <c r="Q23" i="4" s="1"/>
  <c r="Q24" i="4"/>
  <c r="Q14" i="4" l="1"/>
  <c r="Q15" i="4"/>
  <c r="Q25" i="4" s="1"/>
  <c r="Q17" i="4" l="1"/>
  <c r="Q19" i="4" l="1"/>
  <c r="U24" i="4"/>
  <c r="V24" i="4"/>
  <c r="R24" i="4"/>
  <c r="S24" i="4"/>
  <c r="Y24" i="4"/>
  <c r="T24" i="4"/>
  <c r="U7" i="4"/>
  <c r="U14" i="4" s="1"/>
  <c r="Y7" i="4"/>
  <c r="Y23" i="4" s="1"/>
  <c r="S7" i="4"/>
  <c r="S23" i="4" s="1"/>
  <c r="V7" i="4"/>
  <c r="V14" i="4" s="1"/>
  <c r="X7" i="4"/>
  <c r="X23" i="4" s="1"/>
  <c r="X24" i="4"/>
  <c r="W24" i="4"/>
  <c r="R7" i="4"/>
  <c r="R14" i="4" s="1"/>
  <c r="T7" i="4"/>
  <c r="T23" i="4" s="1"/>
  <c r="W7" i="4"/>
  <c r="W14" i="4" s="1"/>
  <c r="S14" i="4" l="1"/>
  <c r="S15" i="4" s="1"/>
  <c r="S25" i="4" s="1"/>
  <c r="W23" i="4"/>
  <c r="Y14" i="4"/>
  <c r="T14" i="4"/>
  <c r="T15" i="4" s="1"/>
  <c r="T25" i="4" s="1"/>
  <c r="X14" i="4"/>
  <c r="X15" i="4" s="1"/>
  <c r="X25" i="4" s="1"/>
  <c r="V23" i="4"/>
  <c r="V15" i="4"/>
  <c r="V25" i="4" s="1"/>
  <c r="R15" i="4"/>
  <c r="R25" i="4" s="1"/>
  <c r="U15" i="4"/>
  <c r="U25" i="4" s="1"/>
  <c r="W15" i="4"/>
  <c r="W25" i="4" s="1"/>
  <c r="U23" i="4"/>
  <c r="R23" i="4"/>
  <c r="Y15" i="4"/>
  <c r="Y25" i="4" s="1"/>
  <c r="S17" i="4" l="1"/>
  <c r="S19" i="4" s="1"/>
  <c r="V17" i="4"/>
  <c r="V19" i="4" s="1"/>
  <c r="R17" i="4"/>
  <c r="R19" i="4" s="1"/>
  <c r="T17" i="4"/>
  <c r="T19" i="4" s="1"/>
  <c r="U17" i="4"/>
  <c r="U19" i="4" s="1"/>
  <c r="Y17" i="4"/>
  <c r="Y19" i="4" s="1"/>
  <c r="W17" i="4"/>
  <c r="W19" i="4" s="1"/>
  <c r="X17" i="4"/>
  <c r="X19" i="4" s="1"/>
  <c r="Z17" i="4" l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AU17" i="4" s="1"/>
  <c r="AV17" i="4" s="1"/>
  <c r="AW17" i="4" s="1"/>
  <c r="AX17" i="4" s="1"/>
  <c r="AY17" i="4" s="1"/>
  <c r="AZ17" i="4" s="1"/>
  <c r="BA17" i="4" s="1"/>
  <c r="BB17" i="4" s="1"/>
  <c r="BC17" i="4" s="1"/>
  <c r="BD17" i="4" s="1"/>
  <c r="BE17" i="4" s="1"/>
  <c r="BF17" i="4" s="1"/>
  <c r="BG17" i="4" s="1"/>
  <c r="BH17" i="4" s="1"/>
  <c r="BI17" i="4" s="1"/>
  <c r="BJ17" i="4" s="1"/>
  <c r="BK17" i="4" s="1"/>
  <c r="BL17" i="4" s="1"/>
  <c r="BM17" i="4" s="1"/>
  <c r="BN17" i="4" s="1"/>
  <c r="BO17" i="4" s="1"/>
  <c r="BP17" i="4" s="1"/>
  <c r="BQ17" i="4" s="1"/>
  <c r="BR17" i="4" s="1"/>
  <c r="BS17" i="4" s="1"/>
  <c r="BT17" i="4" s="1"/>
  <c r="BU17" i="4" s="1"/>
  <c r="BV17" i="4" s="1"/>
  <c r="BW17" i="4" s="1"/>
  <c r="BX17" i="4" s="1"/>
  <c r="BY17" i="4" s="1"/>
  <c r="BZ17" i="4" s="1"/>
  <c r="CA17" i="4" s="1"/>
  <c r="CB17" i="4" s="1"/>
  <c r="CC17" i="4" s="1"/>
  <c r="CD17" i="4" s="1"/>
  <c r="CE17" i="4" s="1"/>
  <c r="CF17" i="4" s="1"/>
  <c r="CG17" i="4" s="1"/>
  <c r="CH17" i="4" s="1"/>
  <c r="CI17" i="4" s="1"/>
  <c r="CJ17" i="4" s="1"/>
  <c r="CK17" i="4" s="1"/>
  <c r="CL17" i="4" s="1"/>
  <c r="CM17" i="4" s="1"/>
  <c r="CN17" i="4" s="1"/>
  <c r="CO17" i="4" s="1"/>
  <c r="CP17" i="4" s="1"/>
  <c r="CQ17" i="4" s="1"/>
  <c r="CR17" i="4" s="1"/>
  <c r="CS17" i="4" s="1"/>
  <c r="CT17" i="4" s="1"/>
  <c r="CU17" i="4" s="1"/>
  <c r="CV17" i="4" s="1"/>
  <c r="CW17" i="4" s="1"/>
  <c r="CX17" i="4" s="1"/>
  <c r="CY17" i="4" s="1"/>
  <c r="CZ17" i="4" s="1"/>
  <c r="DA17" i="4" s="1"/>
  <c r="DB17" i="4" s="1"/>
  <c r="DC17" i="4" s="1"/>
  <c r="DD17" i="4" s="1"/>
  <c r="DE17" i="4" s="1"/>
  <c r="DF17" i="4" s="1"/>
  <c r="DG17" i="4" s="1"/>
  <c r="DH17" i="4" s="1"/>
  <c r="DI17" i="4" s="1"/>
  <c r="DJ17" i="4" s="1"/>
  <c r="AB25" i="4" l="1"/>
  <c r="AB27" i="4" s="1"/>
  <c r="AB28" i="4" s="1"/>
  <c r="AB3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05256E-5B8D-4931-8BD2-C2A08F9A9017}" keepAlive="1" name="Query - usdjpy" description="Connection to the 'usdjpy' query in the workbook." type="5" refreshedVersion="6" background="1" saveData="1">
    <dbPr connection="Provider=Microsoft.Mashup.OleDb.1;Data Source=$Workbook$;Location=usdjpy;Extended Properties=&quot;&quot;" command="SELECT * FROM [usdjpy]"/>
  </connection>
</connections>
</file>

<file path=xl/sharedStrings.xml><?xml version="1.0" encoding="utf-8"?>
<sst xmlns="http://schemas.openxmlformats.org/spreadsheetml/2006/main" count="96" uniqueCount="72">
  <si>
    <t>Price</t>
  </si>
  <si>
    <t>Shares</t>
  </si>
  <si>
    <t>MC</t>
  </si>
  <si>
    <t>Net Cash</t>
  </si>
  <si>
    <t>EV</t>
  </si>
  <si>
    <t>Time last checked</t>
  </si>
  <si>
    <t>Today</t>
  </si>
  <si>
    <t>Q120</t>
  </si>
  <si>
    <t>USD/JPY</t>
  </si>
  <si>
    <t>title</t>
  </si>
  <si>
    <t>link</t>
  </si>
  <si>
    <t>description</t>
  </si>
  <si>
    <t>baseCurrency</t>
  </si>
  <si>
    <t>pubDate</t>
  </si>
  <si>
    <t>USD</t>
  </si>
  <si>
    <t>baseName</t>
  </si>
  <si>
    <t>targetCurrency</t>
  </si>
  <si>
    <t>targetName</t>
  </si>
  <si>
    <t>exchangeRate</t>
  </si>
  <si>
    <t>inverseRate</t>
  </si>
  <si>
    <t>inverseDescription</t>
  </si>
  <si>
    <t>U.S. Dollar</t>
  </si>
  <si>
    <t>http://www.floatrates.com/usd/jpy/</t>
  </si>
  <si>
    <t>JPY</t>
  </si>
  <si>
    <t>Japanese Yen</t>
  </si>
  <si>
    <t>Cash JPY</t>
  </si>
  <si>
    <t>Debt JPY</t>
  </si>
  <si>
    <t>Cash USD</t>
  </si>
  <si>
    <t>Debt USD</t>
  </si>
  <si>
    <t>Revenue</t>
  </si>
  <si>
    <t>Cost of sales</t>
  </si>
  <si>
    <t>Gross profit</t>
  </si>
  <si>
    <t>SG&amp;A</t>
  </si>
  <si>
    <t>Operating profit</t>
  </si>
  <si>
    <t>Net financing expense</t>
  </si>
  <si>
    <t>Pretax income</t>
  </si>
  <si>
    <t>Taxes</t>
  </si>
  <si>
    <t>Minority interest</t>
  </si>
  <si>
    <t>Net income</t>
  </si>
  <si>
    <t>EPS</t>
  </si>
  <si>
    <t>Gross Margin</t>
  </si>
  <si>
    <t>Operating Margin</t>
  </si>
  <si>
    <t>Revenue y/y</t>
  </si>
  <si>
    <t>Maturity</t>
  </si>
  <si>
    <t>Discount rate</t>
  </si>
  <si>
    <t>NPV</t>
  </si>
  <si>
    <t>Value</t>
  </si>
  <si>
    <t>Per share</t>
  </si>
  <si>
    <t>Current price</t>
  </si>
  <si>
    <t>Variance</t>
  </si>
  <si>
    <t>Net cash</t>
  </si>
  <si>
    <t>if they outperform earnings, could be a good target</t>
  </si>
  <si>
    <t>Consensus</t>
  </si>
  <si>
    <t>Earnings</t>
  </si>
  <si>
    <t>Q220</t>
  </si>
  <si>
    <t>Q320</t>
  </si>
  <si>
    <t>Q420</t>
  </si>
  <si>
    <t>Q121</t>
  </si>
  <si>
    <t>Q221</t>
  </si>
  <si>
    <t>Q321</t>
  </si>
  <si>
    <t>Q421</t>
  </si>
  <si>
    <t>1 USD = 106.31855806 JPY</t>
  </si>
  <si>
    <t>1 U.S. Dollar = 106.31855806 Japanese Yen</t>
  </si>
  <si>
    <t>1 Japanese Yen = 0.00940570 U.S. Dollar</t>
  </si>
  <si>
    <t>Investments</t>
  </si>
  <si>
    <t>Other finance income</t>
  </si>
  <si>
    <t>Other finance costs</t>
  </si>
  <si>
    <t>Other income</t>
  </si>
  <si>
    <t>Finance income</t>
  </si>
  <si>
    <t>Net finance expense</t>
  </si>
  <si>
    <t>SG&amp;A y/y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</si>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</sst>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[$¥-411]#,##0"/>
    <numFmt numFmtId="166" formatCode="[$$-409]#,##0"/>
    <numFmt numFmtId="167" formatCode="[$¥-411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NumberFormat="1" applyBorder="1"/>
    <xf numFmtId="167" fontId="0" fillId="0" borderId="0" xfId="0" applyNumberFormat="1"/>
    <xf numFmtId="0" fontId="0" fillId="0" borderId="0" xfId="0" applyFont="1"/>
    <xf numFmtId="3" fontId="1" fillId="0" borderId="0" xfId="0" applyNumberFormat="1" applyFont="1"/>
    <xf numFmtId="3" fontId="0" fillId="0" borderId="0" xfId="0" applyNumberFormat="1" applyFont="1"/>
    <xf numFmtId="9" fontId="1" fillId="0" borderId="0" xfId="0" applyNumberFormat="1" applyFont="1"/>
    <xf numFmtId="14" fontId="0" fillId="0" borderId="0" xfId="0" applyNumberFormat="1"/>
    <xf numFmtId="1" fontId="0" fillId="0" borderId="0" xfId="0" applyNumberFormat="1" applyFont="1"/>
    <xf numFmtId="2" fontId="1" fillId="0" borderId="0" xfId="0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9" fontId="0" fillId="0" borderId="0" xfId="0" applyNumberFormat="1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0</xdr:rowOff>
    </xdr:from>
    <xdr:to>
      <xdr:col>9</xdr:col>
      <xdr:colOff>22860</xdr:colOff>
      <xdr:row>55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D7A84A1-1C42-4073-A676-03EB25B05552}"/>
            </a:ext>
          </a:extLst>
        </xdr:cNvPr>
        <xdr:cNvCxnSpPr/>
      </xdr:nvCxnSpPr>
      <xdr:spPr>
        <a:xfrm>
          <a:off x="7010400" y="0"/>
          <a:ext cx="0" cy="9052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</xdr:colOff>
      <xdr:row>0</xdr:row>
      <xdr:rowOff>22860</xdr:rowOff>
    </xdr:from>
    <xdr:to>
      <xdr:col>15</xdr:col>
      <xdr:colOff>30480</xdr:colOff>
      <xdr:row>32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95D1999-B9F2-4898-A507-0745E117B789}"/>
            </a:ext>
          </a:extLst>
        </xdr:cNvPr>
        <xdr:cNvCxnSpPr/>
      </xdr:nvCxnSpPr>
      <xdr:spPr>
        <a:xfrm>
          <a:off x="11247120" y="22860"/>
          <a:ext cx="0" cy="590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F02D31-FA0B-4B39-A2C9-45F4D6FCBC90}" autoFormatId="16" applyNumberFormats="0" applyBorderFormats="0" applyFontFormats="0" applyPatternFormats="0" applyAlignmentFormats="0" applyWidthHeightFormats="0">
  <queryTableRefresh nextId="12">
    <queryTableFields count="11">
      <queryTableField id="1" name="title" tableColumnId="12"/>
      <queryTableField id="2" name="link" tableColumnId="2"/>
      <queryTableField id="3" name="description" tableColumnId="3"/>
      <queryTableField id="4" name="pubDate" tableColumnId="4"/>
      <queryTableField id="5" name="baseCurrency" tableColumnId="5"/>
      <queryTableField id="6" name="baseName" tableColumnId="6"/>
      <queryTableField id="7" name="targetCurrency" tableColumnId="7"/>
      <queryTableField id="8" name="targetName" tableColumnId="8"/>
      <queryTableField id="9" name="exchangeRate" tableColumnId="9"/>
      <queryTableField id="10" name="inverseRate" tableColumnId="10"/>
      <queryTableField id="11" name="inverseDescripti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3583A1-1005-43C5-8E4E-C4BFEEA0A9EF}" name="usdjpy" displayName="usdjpy" ref="A1:K2" tableType="queryTable" totalsRowShown="0">
  <autoFilter ref="A1:K2" xr:uid="{3A5FF6DB-025C-415A-953B-1998CD98FB58}"/>
  <tableColumns count="11">
    <tableColumn id="12" xr3:uid="{21B6F5A2-9190-4F5F-814B-8C0A8846A7A1}" uniqueName="12" name="title" queryTableFieldId="1" dataDxfId="10"/>
    <tableColumn id="2" xr3:uid="{FB39E0B2-23B4-44D7-85E3-B2356F0722B7}" uniqueName="2" name="link" queryTableFieldId="2" dataDxfId="9"/>
    <tableColumn id="3" xr3:uid="{22282F28-0532-4E3D-B7EA-55CDE07287B3}" uniqueName="3" name="description" queryTableFieldId="3" dataDxfId="8"/>
    <tableColumn id="4" xr3:uid="{86BFAAD9-D164-4F75-9536-B7E18AD31A86}" uniqueName="4" name="pubDate" queryTableFieldId="4" dataDxfId="7"/>
    <tableColumn id="5" xr3:uid="{014573C3-B70D-4096-83C8-7CB9C0DE99EC}" uniqueName="5" name="baseCurrency" queryTableFieldId="5" dataDxfId="6"/>
    <tableColumn id="6" xr3:uid="{8E4272A2-9544-4766-89B6-6BF60CD36DD7}" uniqueName="6" name="baseName" queryTableFieldId="6" dataDxfId="5"/>
    <tableColumn id="7" xr3:uid="{8A1FA9F0-B728-4FFB-8EF1-D818326E9F39}" uniqueName="7" name="targetCurrency" queryTableFieldId="7" dataDxfId="4"/>
    <tableColumn id="8" xr3:uid="{5EEBE399-9417-4D5D-8212-DAD6AFA96F33}" uniqueName="8" name="targetName" queryTableFieldId="8" dataDxfId="3"/>
    <tableColumn id="9" xr3:uid="{83892EC6-CA2E-4D7D-A685-BCE6999D31F4}" uniqueName="9" name="exchangeRate" queryTableFieldId="9" dataDxfId="2"/>
    <tableColumn id="10" xr3:uid="{F13137B5-2E41-4344-B91B-EAA849012B17}" uniqueName="10" name="inverseRate" queryTableFieldId="10" dataDxfId="1"/>
    <tableColumn id="11" xr3:uid="{6C689423-2CAB-4C14-971F-946C663BF854}" uniqueName="11" name="inverseDescripti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1E92-B21A-4CE6-B201-46823B23EA64}">
  <sheetPr codeName="Sheet1"/>
  <dimension ref="B2:I15"/>
  <sheetViews>
    <sheetView workbookViewId="0">
      <selection activeCell="D5" sqref="D5"/>
    </sheetView>
  </sheetViews>
  <sheetFormatPr defaultRowHeight="14.4" x14ac:dyDescent="0.3"/>
  <cols>
    <col min="4" max="4" width="11" bestFit="1" customWidth="1"/>
    <col min="5" max="7" width="15.77734375" style="3" customWidth="1"/>
    <col min="9" max="9" width="11" bestFit="1" customWidth="1"/>
  </cols>
  <sheetData>
    <row r="2" spans="2:9" x14ac:dyDescent="0.3">
      <c r="E2" s="3" t="s">
        <v>5</v>
      </c>
      <c r="F2" s="3" t="s">
        <v>6</v>
      </c>
      <c r="G2" s="3" t="s">
        <v>53</v>
      </c>
    </row>
    <row r="3" spans="2:9" x14ac:dyDescent="0.3">
      <c r="B3" s="21">
        <v>7203</v>
      </c>
      <c r="C3" t="s">
        <v>0</v>
      </c>
      <c r="D3" s="2">
        <v>147.97</v>
      </c>
      <c r="E3" s="4">
        <v>44256</v>
      </c>
      <c r="F3" s="4">
        <f ca="1">TODAY()</f>
        <v>44257</v>
      </c>
      <c r="G3" s="4">
        <v>44328</v>
      </c>
    </row>
    <row r="4" spans="2:9" x14ac:dyDescent="0.3">
      <c r="C4" t="s">
        <v>1</v>
      </c>
      <c r="D4" s="5">
        <v>1397</v>
      </c>
      <c r="E4" s="3" t="s">
        <v>59</v>
      </c>
    </row>
    <row r="5" spans="2:9" x14ac:dyDescent="0.3">
      <c r="C5" t="s">
        <v>2</v>
      </c>
      <c r="D5" s="7">
        <f>D3*D4</f>
        <v>206714.09</v>
      </c>
    </row>
    <row r="6" spans="2:9" x14ac:dyDescent="0.3">
      <c r="C6" t="s">
        <v>25</v>
      </c>
      <c r="D6" s="6">
        <f>4479992+3923054</f>
        <v>8403046</v>
      </c>
      <c r="E6" s="3" t="s">
        <v>59</v>
      </c>
    </row>
    <row r="7" spans="2:9" x14ac:dyDescent="0.3">
      <c r="C7" t="s">
        <v>26</v>
      </c>
      <c r="D7" s="6">
        <f>12031321+11943533</f>
        <v>23974854</v>
      </c>
      <c r="E7" s="3" t="s">
        <v>59</v>
      </c>
    </row>
    <row r="8" spans="2:9" x14ac:dyDescent="0.3">
      <c r="C8" t="s">
        <v>27</v>
      </c>
      <c r="D8" s="7">
        <f>D6/D13</f>
        <v>79036.493283306292</v>
      </c>
      <c r="E8" s="3" t="s">
        <v>59</v>
      </c>
    </row>
    <row r="9" spans="2:9" x14ac:dyDescent="0.3">
      <c r="C9" t="s">
        <v>28</v>
      </c>
      <c r="D9" s="7">
        <f>D7/D13</f>
        <v>225500.1801893324</v>
      </c>
      <c r="E9" s="3" t="s">
        <v>59</v>
      </c>
    </row>
    <row r="10" spans="2:9" x14ac:dyDescent="0.3">
      <c r="C10" t="s">
        <v>3</v>
      </c>
      <c r="D10" s="7">
        <f>(D6-D7)/D13</f>
        <v>-146463.68690602612</v>
      </c>
      <c r="E10" s="3" t="s">
        <v>59</v>
      </c>
    </row>
    <row r="11" spans="2:9" x14ac:dyDescent="0.3">
      <c r="C11" t="s">
        <v>4</v>
      </c>
      <c r="D11" s="7">
        <f>D5-D10</f>
        <v>353177.77690602612</v>
      </c>
    </row>
    <row r="13" spans="2:9" x14ac:dyDescent="0.3">
      <c r="C13" t="s">
        <v>8</v>
      </c>
      <c r="D13" s="11">
        <f>usdjpy[exchangeRate]</f>
        <v>106.31855806</v>
      </c>
    </row>
    <row r="15" spans="2:9" x14ac:dyDescent="0.3">
      <c r="I15" s="11">
        <f>(2766-43+47)*(6886/D13)+(43/2)*D3</f>
        <v>182587.66324992588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7229-131C-44E2-A523-FFFDA163C314}">
  <sheetPr codeName="Sheet2"/>
  <dimension ref="B1:DJ48"/>
  <sheetViews>
    <sheetView tabSelected="1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AB31" sqref="AB31"/>
    </sheetView>
  </sheetViews>
  <sheetFormatPr defaultRowHeight="14.4" x14ac:dyDescent="0.3"/>
  <cols>
    <col min="2" max="2" width="19.109375" bestFit="1" customWidth="1"/>
    <col min="3" max="10" width="10.5546875" customWidth="1"/>
    <col min="11" max="11" width="8.88671875" customWidth="1"/>
    <col min="12" max="25" width="10.5546875" customWidth="1"/>
    <col min="26" max="26" width="8.77734375" customWidth="1"/>
    <col min="27" max="27" width="11.88671875" bestFit="1" customWidth="1"/>
    <col min="28" max="28" width="17.33203125" bestFit="1" customWidth="1"/>
  </cols>
  <sheetData>
    <row r="1" spans="2:25" x14ac:dyDescent="0.3">
      <c r="C1" s="16">
        <v>43646</v>
      </c>
      <c r="D1" s="16">
        <v>43738</v>
      </c>
      <c r="E1" s="16">
        <v>43830</v>
      </c>
      <c r="F1" s="16">
        <v>43921</v>
      </c>
      <c r="G1" s="16">
        <v>44012</v>
      </c>
      <c r="H1" s="16">
        <v>44104</v>
      </c>
      <c r="I1" s="16">
        <v>44196</v>
      </c>
      <c r="J1" s="16">
        <v>44286</v>
      </c>
      <c r="L1" s="16"/>
      <c r="M1" s="16"/>
      <c r="N1" s="16"/>
      <c r="O1" s="16"/>
      <c r="P1" s="16"/>
    </row>
    <row r="2" spans="2:25" x14ac:dyDescent="0.3">
      <c r="C2" s="20" t="s">
        <v>7</v>
      </c>
      <c r="D2" s="20" t="s">
        <v>54</v>
      </c>
      <c r="E2" s="20" t="s">
        <v>55</v>
      </c>
      <c r="F2" s="20" t="s">
        <v>56</v>
      </c>
      <c r="G2" s="20" t="s">
        <v>57</v>
      </c>
      <c r="H2" s="20" t="s">
        <v>58</v>
      </c>
      <c r="I2" s="20" t="s">
        <v>59</v>
      </c>
      <c r="J2" s="20" t="s">
        <v>60</v>
      </c>
      <c r="L2">
        <v>2017</v>
      </c>
      <c r="M2">
        <v>2018</v>
      </c>
      <c r="N2">
        <v>2019</v>
      </c>
      <c r="O2">
        <v>2020</v>
      </c>
      <c r="P2">
        <v>2021</v>
      </c>
      <c r="Q2">
        <v>2022</v>
      </c>
      <c r="R2">
        <v>2023</v>
      </c>
      <c r="S2">
        <v>2024</v>
      </c>
      <c r="T2">
        <v>2025</v>
      </c>
      <c r="U2">
        <v>2026</v>
      </c>
      <c r="V2">
        <v>2027</v>
      </c>
      <c r="W2">
        <v>2028</v>
      </c>
      <c r="X2">
        <v>2029</v>
      </c>
      <c r="Y2">
        <v>2030</v>
      </c>
    </row>
    <row r="3" spans="2:25" s="1" customFormat="1" x14ac:dyDescent="0.3">
      <c r="B3" s="1" t="s">
        <v>29</v>
      </c>
      <c r="C3" s="13">
        <f>C32/Main!$D$13</f>
        <v>72623.943936886004</v>
      </c>
      <c r="D3" s="13">
        <f>D32/Main!$D$13</f>
        <v>71831.335369410488</v>
      </c>
      <c r="E3" s="13">
        <f>E32/Main!$D$13</f>
        <v>71567.289275179617</v>
      </c>
      <c r="F3" s="13">
        <f>F32/Main!$D$13</f>
        <v>65489.827242301486</v>
      </c>
      <c r="G3" s="13">
        <f>G32/Main!$D$13</f>
        <v>43273.686964448658</v>
      </c>
      <c r="H3" s="13">
        <f>H32/Main!$D$13</f>
        <v>63718.198625087709</v>
      </c>
      <c r="I3" s="13">
        <f>I32/Main!$D$13</f>
        <v>76656.720601878333</v>
      </c>
      <c r="J3" s="13">
        <f>F3*1.15</f>
        <v>75313.301328646703</v>
      </c>
      <c r="L3" s="13">
        <f>L32/Main!$D$13</f>
        <v>259570.79839651092</v>
      </c>
      <c r="M3" s="13">
        <f>M32/Main!$D$13</f>
        <v>276334.7296661032</v>
      </c>
      <c r="N3" s="13">
        <f>N32/Main!$D$13</f>
        <v>284293.55656744691</v>
      </c>
      <c r="O3" s="13">
        <f>O32/Main!$D$13</f>
        <v>281512.3958237776</v>
      </c>
      <c r="P3" s="13">
        <f>SUM(G3:J3)</f>
        <v>258961.90752006142</v>
      </c>
      <c r="Q3" s="13">
        <f>P3*1.13</f>
        <v>292626.95549766935</v>
      </c>
      <c r="R3" s="13">
        <f>Q3*1.05</f>
        <v>307258.30327255285</v>
      </c>
      <c r="S3" s="13">
        <f>R3*1.04</f>
        <v>319548.63540345494</v>
      </c>
      <c r="T3" s="13">
        <f>S3*1.03</f>
        <v>329135.09446555859</v>
      </c>
      <c r="U3" s="13">
        <f>T3*1.02</f>
        <v>335717.79635486979</v>
      </c>
      <c r="V3" s="13">
        <f>U3*1.02</f>
        <v>342432.15228196717</v>
      </c>
      <c r="W3" s="13">
        <f t="shared" ref="W3:Y3" si="0">V3*1.01</f>
        <v>345856.47380478686</v>
      </c>
      <c r="X3" s="13">
        <f t="shared" si="0"/>
        <v>349315.03854283475</v>
      </c>
      <c r="Y3" s="13">
        <f t="shared" si="0"/>
        <v>352808.18892826309</v>
      </c>
    </row>
    <row r="4" spans="2:25" x14ac:dyDescent="0.3">
      <c r="B4" t="s">
        <v>30</v>
      </c>
      <c r="C4" s="14">
        <f>C33/Main!$D$13</f>
        <v>58965.669911193298</v>
      </c>
      <c r="D4" s="14">
        <f>D33/Main!$D$13</f>
        <v>59118.672362475794</v>
      </c>
      <c r="E4" s="14">
        <f>E33/Main!$D$13</f>
        <v>58566.971877910364</v>
      </c>
      <c r="F4" s="14">
        <f>F33/Main!$D$13</f>
        <v>53998.578467929234</v>
      </c>
      <c r="G4" s="14">
        <f>G33/Main!$D$13</f>
        <v>38105.934409998714</v>
      </c>
      <c r="H4" s="14">
        <f>H33/Main!$D$13</f>
        <v>52919.077371467502</v>
      </c>
      <c r="I4" s="14">
        <f>I33/Main!$D$13</f>
        <v>61074.285792472307</v>
      </c>
      <c r="J4" s="14">
        <f>J3-J5</f>
        <v>61756.907089490298</v>
      </c>
      <c r="L4" s="14">
        <f>L33/Main!$D$13</f>
        <v>213832.24542200868</v>
      </c>
      <c r="M4" s="14">
        <f>M33/Main!$D$13</f>
        <v>224694.10266567342</v>
      </c>
      <c r="N4" s="14">
        <f>N33/Main!$D$13</f>
        <v>233089.92759302288</v>
      </c>
      <c r="O4" s="14">
        <f>O33/Main!$D$13</f>
        <v>230649.8926195087</v>
      </c>
      <c r="P4" s="14">
        <f>SUM(G4:J4)</f>
        <v>213856.20466342883</v>
      </c>
      <c r="Q4" s="5">
        <f>Q3-Q5</f>
        <v>239954.10350808885</v>
      </c>
      <c r="R4" s="5">
        <f t="shared" ref="R4:Y4" si="1">R3-R5</f>
        <v>251951.80868349335</v>
      </c>
      <c r="S4" s="5">
        <f t="shared" si="1"/>
        <v>262029.88103083306</v>
      </c>
      <c r="T4" s="5">
        <f t="shared" si="1"/>
        <v>269890.77746175806</v>
      </c>
      <c r="U4" s="5">
        <f t="shared" si="1"/>
        <v>275288.59301099321</v>
      </c>
      <c r="V4" s="5">
        <f t="shared" si="1"/>
        <v>280794.3648712131</v>
      </c>
      <c r="W4" s="5">
        <f t="shared" si="1"/>
        <v>283602.30851992522</v>
      </c>
      <c r="X4" s="5">
        <f t="shared" si="1"/>
        <v>286438.33160512452</v>
      </c>
      <c r="Y4" s="5">
        <f t="shared" si="1"/>
        <v>289302.71492117574</v>
      </c>
    </row>
    <row r="5" spans="2:25" s="1" customFormat="1" x14ac:dyDescent="0.3">
      <c r="B5" s="1" t="s">
        <v>31</v>
      </c>
      <c r="C5" s="13">
        <f>C34/Main!$D$13</f>
        <v>13658.274025692706</v>
      </c>
      <c r="D5" s="13">
        <f>D34/Main!$D$13</f>
        <v>12712.66300693469</v>
      </c>
      <c r="E5" s="13">
        <f>E34/Main!$D$13</f>
        <v>13000.31739726926</v>
      </c>
      <c r="F5" s="13">
        <f>F34/Main!$D$13</f>
        <v>11491.24877437225</v>
      </c>
      <c r="G5" s="13">
        <f>G34/Main!$D$13</f>
        <v>5167.7525544499467</v>
      </c>
      <c r="H5" s="13">
        <f>H34/Main!$D$13</f>
        <v>10799.121253620207</v>
      </c>
      <c r="I5" s="13">
        <f>I34/Main!$D$13</f>
        <v>15582.43480940603</v>
      </c>
      <c r="J5" s="13">
        <f>J3*0.18</f>
        <v>13556.394239156407</v>
      </c>
      <c r="L5" s="13">
        <f>L34/Main!$D$13</f>
        <v>45738.552974502221</v>
      </c>
      <c r="M5" s="13">
        <f>M34/Main!$D$13</f>
        <v>51640.627000429806</v>
      </c>
      <c r="N5" s="13">
        <f>N34/Main!$D$13</f>
        <v>51203.628974424035</v>
      </c>
      <c r="O5" s="13">
        <f>O34/Main!$D$13</f>
        <v>50862.503204268905</v>
      </c>
      <c r="P5" s="13">
        <f>P3-P4</f>
        <v>45105.70285663259</v>
      </c>
      <c r="Q5" s="13">
        <f>Q3*0.18</f>
        <v>52672.851989580478</v>
      </c>
      <c r="R5" s="13">
        <f t="shared" ref="R5:Y5" si="2">R3*0.18</f>
        <v>55306.494589059512</v>
      </c>
      <c r="S5" s="13">
        <f t="shared" si="2"/>
        <v>57518.754372621886</v>
      </c>
      <c r="T5" s="13">
        <f t="shared" si="2"/>
        <v>59244.317003800541</v>
      </c>
      <c r="U5" s="13">
        <f t="shared" si="2"/>
        <v>60429.203343876557</v>
      </c>
      <c r="V5" s="13">
        <f t="shared" si="2"/>
        <v>61637.787410754085</v>
      </c>
      <c r="W5" s="13">
        <f t="shared" si="2"/>
        <v>62254.165284861636</v>
      </c>
      <c r="X5" s="13">
        <f t="shared" si="2"/>
        <v>62876.706937710253</v>
      </c>
      <c r="Y5" s="13">
        <f t="shared" si="2"/>
        <v>63505.474007087352</v>
      </c>
    </row>
    <row r="6" spans="2:25" x14ac:dyDescent="0.3">
      <c r="B6" t="s">
        <v>32</v>
      </c>
      <c r="C6" s="14">
        <f>C35/Main!$D$13</f>
        <v>6692.3123580970805</v>
      </c>
      <c r="D6" s="14">
        <f>D35/Main!$D$13</f>
        <v>6518.0060061472959</v>
      </c>
      <c r="E6" s="14">
        <f>E35/Main!$D$13</f>
        <v>6979.7598231271568</v>
      </c>
      <c r="F6" s="14">
        <f>F35/Main!$D$13</f>
        <v>7695.5426684612057</v>
      </c>
      <c r="G6" s="14">
        <f>G35/Main!$D$13</f>
        <v>5036.8252708787722</v>
      </c>
      <c r="H6" s="14">
        <f>H35/Main!$D$13</f>
        <v>6039.2655028075542</v>
      </c>
      <c r="I6" s="14">
        <f>I35/Main!$D$13</f>
        <v>6290.1718402030028</v>
      </c>
      <c r="J6" s="14">
        <f>F6*0.92</f>
        <v>7079.8992549843097</v>
      </c>
      <c r="L6" s="14">
        <f>L35/Main!$D$13</f>
        <v>26980.096911972734</v>
      </c>
      <c r="M6" s="14">
        <f>M35/Main!$D$13</f>
        <v>29068.255405193744</v>
      </c>
      <c r="N6" s="14">
        <f>N35/Main!$D$13</f>
        <v>27994.651679910115</v>
      </c>
      <c r="O6" s="14">
        <f>O35/Main!$D$13</f>
        <v>27885.620855832738</v>
      </c>
      <c r="P6" s="14">
        <f>SUM(G6:J6)</f>
        <v>24446.161868873638</v>
      </c>
      <c r="Q6" s="5">
        <f>P6*1.15</f>
        <v>28113.086149204682</v>
      </c>
      <c r="R6" s="5">
        <f>Q6*1.04</f>
        <v>29237.609595172871</v>
      </c>
      <c r="S6" s="5">
        <f>R6*1.03</f>
        <v>30114.737883028058</v>
      </c>
      <c r="T6" s="5">
        <f t="shared" ref="T6:U6" si="3">S6*1.02</f>
        <v>30717.03264068862</v>
      </c>
      <c r="U6" s="5">
        <f t="shared" si="3"/>
        <v>31331.373293502391</v>
      </c>
      <c r="V6" s="5">
        <f>U6*1.01</f>
        <v>31644.687026437416</v>
      </c>
      <c r="W6" s="5">
        <f t="shared" ref="W6:Y6" si="4">V6*1.01</f>
        <v>31961.133896701791</v>
      </c>
      <c r="X6" s="5">
        <f t="shared" si="4"/>
        <v>32280.745235668808</v>
      </c>
      <c r="Y6" s="5">
        <f t="shared" si="4"/>
        <v>32603.552688025495</v>
      </c>
    </row>
    <row r="7" spans="2:25" s="1" customFormat="1" x14ac:dyDescent="0.3">
      <c r="B7" s="1" t="s">
        <v>33</v>
      </c>
      <c r="C7" s="13">
        <f>C36/Main!$D$13</f>
        <v>6965.9616675956258</v>
      </c>
      <c r="D7" s="13">
        <f>D36/Main!$D$13</f>
        <v>6194.6570007873934</v>
      </c>
      <c r="E7" s="13">
        <f>E36/Main!$D$13</f>
        <v>6020.5575741421035</v>
      </c>
      <c r="F7" s="13">
        <f>F36/Main!$D$13</f>
        <v>3795.7061059110456</v>
      </c>
      <c r="G7" s="13">
        <f>G36/Main!$D$13</f>
        <v>130.92728357117448</v>
      </c>
      <c r="H7" s="13">
        <f>H36/Main!$D$13</f>
        <v>4759.8557508126532</v>
      </c>
      <c r="I7" s="13">
        <f>I36/Main!$D$13</f>
        <v>9292.2629692030259</v>
      </c>
      <c r="J7" s="13">
        <f>J5-J6</f>
        <v>6476.4949841720972</v>
      </c>
      <c r="L7" s="13">
        <f>L36/Main!$D$13</f>
        <v>18758.456062529483</v>
      </c>
      <c r="M7" s="13">
        <f>M36/Main!$D$13</f>
        <v>22572.371595236062</v>
      </c>
      <c r="N7" s="13">
        <f>N36/Main!$D$13</f>
        <v>23208.977294513919</v>
      </c>
      <c r="O7" s="13">
        <f>O36/Main!$D$13</f>
        <v>22976.882348436167</v>
      </c>
      <c r="P7" s="13">
        <f>P5-P6</f>
        <v>20659.540987758952</v>
      </c>
      <c r="Q7" s="13">
        <f t="shared" ref="Q7:Y7" si="5">Q5-Q6</f>
        <v>24559.765840375796</v>
      </c>
      <c r="R7" s="13">
        <f t="shared" si="5"/>
        <v>26068.884993886641</v>
      </c>
      <c r="S7" s="13">
        <f t="shared" si="5"/>
        <v>27404.016489593829</v>
      </c>
      <c r="T7" s="13">
        <f t="shared" si="5"/>
        <v>28527.284363111921</v>
      </c>
      <c r="U7" s="13">
        <f t="shared" si="5"/>
        <v>29097.830050374167</v>
      </c>
      <c r="V7" s="13">
        <f t="shared" si="5"/>
        <v>29993.100384316669</v>
      </c>
      <c r="W7" s="13">
        <f t="shared" si="5"/>
        <v>30293.031388159845</v>
      </c>
      <c r="X7" s="13">
        <f t="shared" si="5"/>
        <v>30595.961702041444</v>
      </c>
      <c r="Y7" s="13">
        <f t="shared" si="5"/>
        <v>30901.921319061858</v>
      </c>
    </row>
    <row r="8" spans="2:25" s="1" customFormat="1" x14ac:dyDescent="0.3">
      <c r="B8" s="12" t="s">
        <v>64</v>
      </c>
      <c r="C8" s="14">
        <f>C37/Main!$D$13</f>
        <v>-985.1901860904527</v>
      </c>
      <c r="D8" s="14">
        <f>D37/Main!$D$13</f>
        <v>-894.68858246101013</v>
      </c>
      <c r="E8" s="14">
        <f>E37/Main!$D$13</f>
        <v>-713.29033598445324</v>
      </c>
      <c r="F8" s="14">
        <f>F37/Main!$D$13</f>
        <v>402.86475645980937</v>
      </c>
      <c r="G8" s="14">
        <f>G37/Main!$D$13</f>
        <v>118.2484058230464</v>
      </c>
      <c r="H8" s="14">
        <f>H37/Main!$D$13</f>
        <v>-836.74949720250186</v>
      </c>
      <c r="I8" s="14">
        <f>I37/Main!$D$13</f>
        <v>-1176.5020357914361</v>
      </c>
      <c r="J8" s="14">
        <v>-300</v>
      </c>
      <c r="L8" s="13"/>
      <c r="M8" s="13"/>
      <c r="N8" s="13"/>
      <c r="O8" s="14">
        <f>O37/Main!$D$13</f>
        <v>-2190.3043480761066</v>
      </c>
      <c r="P8" s="14">
        <f>SUM(G8:J8)</f>
        <v>-2195.0031271708917</v>
      </c>
      <c r="Q8" s="14">
        <f>P8*1.01</f>
        <v>-2216.9531584426009</v>
      </c>
      <c r="R8" s="14">
        <f t="shared" ref="R8:Y8" si="6">Q8*1.02</f>
        <v>-2261.292221611453</v>
      </c>
      <c r="S8" s="14">
        <f t="shared" si="6"/>
        <v>-2306.5180660436822</v>
      </c>
      <c r="T8" s="14">
        <f t="shared" si="6"/>
        <v>-2352.648427364556</v>
      </c>
      <c r="U8" s="14">
        <f t="shared" si="6"/>
        <v>-2399.7013959118472</v>
      </c>
      <c r="V8" s="14">
        <f t="shared" si="6"/>
        <v>-2447.6954238300841</v>
      </c>
      <c r="W8" s="14">
        <f t="shared" si="6"/>
        <v>-2496.6493323066857</v>
      </c>
      <c r="X8" s="14">
        <f t="shared" si="6"/>
        <v>-2546.5823189528196</v>
      </c>
      <c r="Y8" s="14">
        <f t="shared" si="6"/>
        <v>-2597.5139653318761</v>
      </c>
    </row>
    <row r="9" spans="2:25" s="1" customFormat="1" x14ac:dyDescent="0.3">
      <c r="B9" s="12" t="s">
        <v>65</v>
      </c>
      <c r="C9" s="14">
        <f>C38/Main!$D$13</f>
        <v>-729.42110403937886</v>
      </c>
      <c r="D9" s="14">
        <f>D38/Main!$D$13</f>
        <v>-603.39418790646448</v>
      </c>
      <c r="E9" s="14">
        <f>E38/Main!$D$13</f>
        <v>-574.62216488604622</v>
      </c>
      <c r="F9" s="14">
        <f>F38/Main!$D$13</f>
        <v>2210.4607538730197</v>
      </c>
      <c r="G9" s="14">
        <f>G38/Main!$D$13</f>
        <v>-1079.6703989835883</v>
      </c>
      <c r="H9" s="14">
        <f>H38/Main!$D$13</f>
        <v>-500.24192361587035</v>
      </c>
      <c r="I9" s="14">
        <f>I38/Main!$D$13</f>
        <v>-497.36378074426267</v>
      </c>
      <c r="J9" s="14">
        <v>-300</v>
      </c>
      <c r="L9" s="13"/>
      <c r="M9" s="13"/>
      <c r="N9" s="13"/>
      <c r="O9" s="14">
        <f>O38/Main!$D$13</f>
        <v>303.02329704112992</v>
      </c>
      <c r="P9" s="14">
        <f>SUM(G9:J9)</f>
        <v>-2377.2761033437214</v>
      </c>
      <c r="Q9" s="14">
        <f t="shared" ref="Q9:Q12" si="7">P9*1.01</f>
        <v>-2401.0488643771587</v>
      </c>
      <c r="R9" s="14">
        <f t="shared" ref="R9:Y9" si="8">Q9*1.02</f>
        <v>-2449.0698416647019</v>
      </c>
      <c r="S9" s="14">
        <f t="shared" si="8"/>
        <v>-2498.0512384979961</v>
      </c>
      <c r="T9" s="14">
        <f t="shared" si="8"/>
        <v>-2548.0122632679559</v>
      </c>
      <c r="U9" s="14">
        <f t="shared" si="8"/>
        <v>-2598.9725085333148</v>
      </c>
      <c r="V9" s="14">
        <f t="shared" si="8"/>
        <v>-2650.9519587039813</v>
      </c>
      <c r="W9" s="14">
        <f t="shared" si="8"/>
        <v>-2703.9709978780611</v>
      </c>
      <c r="X9" s="14">
        <f t="shared" si="8"/>
        <v>-2758.0504178356223</v>
      </c>
      <c r="Y9" s="14">
        <f t="shared" si="8"/>
        <v>-2813.2114261923348</v>
      </c>
    </row>
    <row r="10" spans="2:25" s="1" customFormat="1" x14ac:dyDescent="0.3">
      <c r="B10" s="12" t="s">
        <v>66</v>
      </c>
      <c r="C10" s="14">
        <f>C39/Main!$D$13</f>
        <v>92.570856674389319</v>
      </c>
      <c r="D10" s="14">
        <f>D39/Main!$D$13</f>
        <v>119.51817473699097</v>
      </c>
      <c r="E10" s="14">
        <f>E39/Main!$D$13</f>
        <v>111.46689925301645</v>
      </c>
      <c r="F10" s="14">
        <f>F39/Main!$D$13</f>
        <v>419.68214029783087</v>
      </c>
      <c r="G10" s="14">
        <f>G39/Main!$D$13</f>
        <v>94.16982493639361</v>
      </c>
      <c r="H10" s="14">
        <f>H39/Main!$D$13</f>
        <v>124.39032508827462</v>
      </c>
      <c r="I10" s="14">
        <f>I39/Main!$D$13</f>
        <v>92.730753500589756</v>
      </c>
      <c r="J10" s="14">
        <v>93</v>
      </c>
      <c r="L10" s="13"/>
      <c r="M10" s="13"/>
      <c r="N10" s="13"/>
      <c r="O10" s="14">
        <f>O39/Main!$D$13</f>
        <v>743.23807096222765</v>
      </c>
      <c r="P10" s="14">
        <f>SUM(G10:J10)</f>
        <v>404.29090352525799</v>
      </c>
      <c r="Q10" s="14">
        <f t="shared" si="7"/>
        <v>408.33381256051058</v>
      </c>
      <c r="R10" s="14">
        <f t="shared" ref="R10:Y10" si="9">Q10*1.02</f>
        <v>416.5004888117208</v>
      </c>
      <c r="S10" s="14">
        <f t="shared" si="9"/>
        <v>424.83049858795522</v>
      </c>
      <c r="T10" s="14">
        <f t="shared" si="9"/>
        <v>433.3271085597143</v>
      </c>
      <c r="U10" s="14">
        <f t="shared" si="9"/>
        <v>441.9936507309086</v>
      </c>
      <c r="V10" s="14">
        <f t="shared" si="9"/>
        <v>450.8335237455268</v>
      </c>
      <c r="W10" s="14">
        <f t="shared" si="9"/>
        <v>459.85019422043734</v>
      </c>
      <c r="X10" s="14">
        <f t="shared" si="9"/>
        <v>469.04719810484607</v>
      </c>
      <c r="Y10" s="14">
        <f t="shared" si="9"/>
        <v>478.428142066943</v>
      </c>
    </row>
    <row r="11" spans="2:25" s="1" customFormat="1" x14ac:dyDescent="0.3">
      <c r="B11" s="12" t="s">
        <v>68</v>
      </c>
      <c r="C11" s="14">
        <f>C40/Main!$D$13</f>
        <v>593.12316824700167</v>
      </c>
      <c r="D11" s="14">
        <f>D40/Main!$D$13</f>
        <v>190.48414848300473</v>
      </c>
      <c r="E11" s="14">
        <f>E40/Main!$D$13</f>
        <v>-247.61434391485199</v>
      </c>
      <c r="F11" s="14">
        <f>F40/Main!$D$13</f>
        <v>-304.6128596074754</v>
      </c>
      <c r="G11" s="14">
        <f>G40/Main!$D$13</f>
        <v>-80.042470056802799</v>
      </c>
      <c r="H11" s="14">
        <f>H40/Main!$D$13</f>
        <v>194.65087165987472</v>
      </c>
      <c r="I11" s="14">
        <f>I40/Main!$D$13</f>
        <v>5.8503426998039183</v>
      </c>
      <c r="J11" s="14">
        <v>50</v>
      </c>
      <c r="L11" s="13"/>
      <c r="M11" s="13"/>
      <c r="N11" s="13"/>
      <c r="O11" s="14">
        <f>O40/Main!$D$13</f>
        <v>231.38011320767907</v>
      </c>
      <c r="P11" s="14">
        <f>SUM(G11:J11)</f>
        <v>170.45874430287586</v>
      </c>
      <c r="Q11" s="14">
        <f t="shared" si="7"/>
        <v>172.16333174590463</v>
      </c>
      <c r="R11" s="14">
        <f t="shared" ref="R11:Y11" si="10">Q11*1.02</f>
        <v>175.60659838082273</v>
      </c>
      <c r="S11" s="14">
        <f t="shared" si="10"/>
        <v>179.11873034843919</v>
      </c>
      <c r="T11" s="14">
        <f t="shared" si="10"/>
        <v>182.70110495540797</v>
      </c>
      <c r="U11" s="14">
        <f t="shared" si="10"/>
        <v>186.35512705451615</v>
      </c>
      <c r="V11" s="14">
        <f t="shared" si="10"/>
        <v>190.08222959560646</v>
      </c>
      <c r="W11" s="14">
        <f t="shared" si="10"/>
        <v>193.88387418751859</v>
      </c>
      <c r="X11" s="14">
        <f t="shared" si="10"/>
        <v>197.76155167126896</v>
      </c>
      <c r="Y11" s="14">
        <f t="shared" si="10"/>
        <v>201.71678270469434</v>
      </c>
    </row>
    <row r="12" spans="2:25" s="1" customFormat="1" x14ac:dyDescent="0.3">
      <c r="B12" t="s">
        <v>67</v>
      </c>
      <c r="C12" s="14">
        <f>C41/Main!$D$13</f>
        <v>-9.217581745671767</v>
      </c>
      <c r="D12" s="14">
        <f>D41/Main!$D$13</f>
        <v>132.49803474620225</v>
      </c>
      <c r="E12" s="14">
        <f>E41/Main!$D$13</f>
        <v>183.96600139142257</v>
      </c>
      <c r="F12" s="14">
        <f>F41/Main!$D$13</f>
        <v>-445.55720905532377</v>
      </c>
      <c r="G12" s="14">
        <f>G41/Main!$D$13</f>
        <v>-33.851098676196628</v>
      </c>
      <c r="H12" s="14">
        <f>H41/Main!$D$13</f>
        <v>34.857508111693441</v>
      </c>
      <c r="I12" s="14">
        <f>I41/Main!$D$13</f>
        <v>134.02175744293572</v>
      </c>
      <c r="J12" s="5">
        <v>0</v>
      </c>
      <c r="L12" s="13"/>
      <c r="M12" s="13"/>
      <c r="N12" s="13"/>
      <c r="O12" s="14">
        <f>O41/Main!$D$13</f>
        <v>-138.31075466337077</v>
      </c>
      <c r="P12" s="14">
        <f>SUM(G12:J12)</f>
        <v>135.02816687843253</v>
      </c>
      <c r="Q12" s="14">
        <f t="shared" si="7"/>
        <v>136.37844854721686</v>
      </c>
      <c r="R12" s="14">
        <f t="shared" ref="R12:Y12" si="11">Q12*1.02</f>
        <v>139.1060175181612</v>
      </c>
      <c r="S12" s="14">
        <f t="shared" si="11"/>
        <v>141.88813786852441</v>
      </c>
      <c r="T12" s="14">
        <f t="shared" si="11"/>
        <v>144.72590062589489</v>
      </c>
      <c r="U12" s="14">
        <f t="shared" si="11"/>
        <v>147.62041863841279</v>
      </c>
      <c r="V12" s="14">
        <f t="shared" si="11"/>
        <v>150.57282701118103</v>
      </c>
      <c r="W12" s="14">
        <f t="shared" si="11"/>
        <v>153.58428355140467</v>
      </c>
      <c r="X12" s="14">
        <f t="shared" si="11"/>
        <v>156.65596922243276</v>
      </c>
      <c r="Y12" s="14">
        <f t="shared" si="11"/>
        <v>159.78908860688142</v>
      </c>
    </row>
    <row r="13" spans="2:25" x14ac:dyDescent="0.3">
      <c r="B13" t="s">
        <v>34</v>
      </c>
      <c r="C13" s="14">
        <f>C42/Main!$D$13</f>
        <v>-1038.1348469541122</v>
      </c>
      <c r="D13" s="14">
        <f>D42/Main!$D$13</f>
        <v>-1055.5824124012768</v>
      </c>
      <c r="E13" s="14">
        <f>E42/Main!$D$13</f>
        <v>-1240.0939441409125</v>
      </c>
      <c r="F13" s="14">
        <f>F42/Main!$D$13</f>
        <v>2282.8375819678608</v>
      </c>
      <c r="G13" s="14">
        <f>G42/Main!$D$13</f>
        <v>-981.14573695714773</v>
      </c>
      <c r="H13" s="14">
        <f>H42/Main!$D$13</f>
        <v>-983.09271595852942</v>
      </c>
      <c r="I13" s="14">
        <f>I42/Main!$D$13</f>
        <v>-1441.2629628923694</v>
      </c>
      <c r="J13" s="5">
        <f>SUM(J8:J12)</f>
        <v>-457</v>
      </c>
      <c r="L13" s="14">
        <f>L42/Main!$D$13</f>
        <v>-1875.9942162443583</v>
      </c>
      <c r="M13" s="14">
        <f>M42/Main!$D$13</f>
        <v>-2074.5860743852904</v>
      </c>
      <c r="N13" s="14">
        <f>N42/Main!$D$13</f>
        <v>1712.589065563179</v>
      </c>
      <c r="O13" s="14">
        <f>O42/Main!$D$13</f>
        <v>-1050.9736215284408</v>
      </c>
      <c r="P13" s="5">
        <f>SUM(P8:P12)</f>
        <v>-3862.5014158080471</v>
      </c>
      <c r="Q13" s="5">
        <f t="shared" ref="Q13:Y13" si="12">SUM(Q8:Q12)</f>
        <v>-3901.126429966127</v>
      </c>
      <c r="R13" s="5">
        <f t="shared" si="12"/>
        <v>-3979.1489585654499</v>
      </c>
      <c r="S13" s="5">
        <f t="shared" si="12"/>
        <v>-4058.7319377367594</v>
      </c>
      <c r="T13" s="5">
        <f t="shared" si="12"/>
        <v>-4139.9065764914958</v>
      </c>
      <c r="U13" s="5">
        <f t="shared" si="12"/>
        <v>-4222.7047080213251</v>
      </c>
      <c r="V13" s="5">
        <f t="shared" si="12"/>
        <v>-4307.1588021817506</v>
      </c>
      <c r="W13" s="5">
        <f t="shared" si="12"/>
        <v>-4393.3019782253859</v>
      </c>
      <c r="X13" s="5">
        <f t="shared" si="12"/>
        <v>-4481.1680177898952</v>
      </c>
      <c r="Y13" s="5">
        <f t="shared" si="12"/>
        <v>-4570.7913781456919</v>
      </c>
    </row>
    <row r="14" spans="2:25" s="1" customFormat="1" x14ac:dyDescent="0.3">
      <c r="B14" s="1" t="s">
        <v>35</v>
      </c>
      <c r="C14" s="13">
        <f>C43/Main!$D$13</f>
        <v>8004.0965145497385</v>
      </c>
      <c r="D14" s="13">
        <f>D43/Main!$D$13</f>
        <v>7250.2394131886704</v>
      </c>
      <c r="E14" s="13">
        <f>E43/Main!$D$13</f>
        <v>7260.6515182830162</v>
      </c>
      <c r="F14" s="13">
        <f>F43/Main!$D$13</f>
        <v>1512.8685239431848</v>
      </c>
      <c r="G14" s="13">
        <f>G43/Main!$D$13</f>
        <v>1112.0730205283223</v>
      </c>
      <c r="H14" s="13">
        <f>H43/Main!$D$13</f>
        <v>5742.9484667711831</v>
      </c>
      <c r="I14" s="13">
        <f>I43/Main!$D$13</f>
        <v>10733.525932095396</v>
      </c>
      <c r="J14" s="13">
        <f>J7-J13</f>
        <v>6933.4949841720972</v>
      </c>
      <c r="L14" s="13">
        <f>L43/Main!$D$13</f>
        <v>20634.450278773842</v>
      </c>
      <c r="M14" s="13">
        <f>M43/Main!$D$13</f>
        <v>24646.957669621352</v>
      </c>
      <c r="N14" s="13">
        <f>N43/Main!$D$13</f>
        <v>21496.388228950742</v>
      </c>
      <c r="O14" s="13">
        <f>O43/Main!$D$13</f>
        <v>24027.85596996461</v>
      </c>
      <c r="P14" s="13">
        <f t="shared" ref="P14:Y14" si="13">P7-P13</f>
        <v>24522.042403567</v>
      </c>
      <c r="Q14" s="13">
        <f t="shared" si="13"/>
        <v>28460.892270341923</v>
      </c>
      <c r="R14" s="13">
        <f t="shared" si="13"/>
        <v>30048.03395245209</v>
      </c>
      <c r="S14" s="13">
        <f t="shared" si="13"/>
        <v>31462.748427330589</v>
      </c>
      <c r="T14" s="13">
        <f t="shared" si="13"/>
        <v>32667.190939603417</v>
      </c>
      <c r="U14" s="13">
        <f t="shared" si="13"/>
        <v>33320.534758395494</v>
      </c>
      <c r="V14" s="13">
        <f t="shared" si="13"/>
        <v>34300.259186498421</v>
      </c>
      <c r="W14" s="13">
        <f t="shared" si="13"/>
        <v>34686.333366385232</v>
      </c>
      <c r="X14" s="13">
        <f t="shared" si="13"/>
        <v>35077.12971983134</v>
      </c>
      <c r="Y14" s="13">
        <f t="shared" si="13"/>
        <v>35472.712697207549</v>
      </c>
    </row>
    <row r="15" spans="2:25" x14ac:dyDescent="0.3">
      <c r="B15" t="s">
        <v>36</v>
      </c>
      <c r="C15" s="14">
        <f>C44/Main!$D$13</f>
        <v>2065.5189837701605</v>
      </c>
      <c r="D15" s="14">
        <f>D44/Main!$D$13</f>
        <v>2052.5485294566079</v>
      </c>
      <c r="E15" s="14">
        <f>E44/Main!$D$13</f>
        <v>1747.0891572398361</v>
      </c>
      <c r="F15" s="14">
        <f>F44/Main!$D$13</f>
        <v>562.97791366039144</v>
      </c>
      <c r="G15" s="14">
        <f>G44/Main!$D$13</f>
        <v>-293.58938429530463</v>
      </c>
      <c r="H15" s="14">
        <f>H44/Main!$D$13</f>
        <v>1211.8392343817309</v>
      </c>
      <c r="I15" s="14">
        <f>I44/Main!$D$13</f>
        <v>2574.0191081745002</v>
      </c>
      <c r="J15" s="5">
        <f>J14*0.24</f>
        <v>1664.0387962013033</v>
      </c>
      <c r="L15" s="14">
        <f>L44/Main!$D$13</f>
        <v>5915.2419998499745</v>
      </c>
      <c r="M15" s="14">
        <f>M44/Main!$D$13</f>
        <v>4744.2893244972593</v>
      </c>
      <c r="N15" s="14">
        <f>N44/Main!$D$13</f>
        <v>6207.2324158832744</v>
      </c>
      <c r="O15" s="14">
        <f>O44/Main!$D$13</f>
        <v>6428.1345841269958</v>
      </c>
      <c r="P15" s="14">
        <f>SUM(G15:J15)</f>
        <v>5156.3077544622302</v>
      </c>
      <c r="Q15" s="5">
        <f>Q14*0.26</f>
        <v>7399.8319902889007</v>
      </c>
      <c r="R15" s="5">
        <f t="shared" ref="R15:Y15" si="14">R14*0.26</f>
        <v>7812.4888276375432</v>
      </c>
      <c r="S15" s="5">
        <f t="shared" si="14"/>
        <v>8180.3145911059537</v>
      </c>
      <c r="T15" s="5">
        <f t="shared" si="14"/>
        <v>8493.4696442968889</v>
      </c>
      <c r="U15" s="5">
        <f t="shared" si="14"/>
        <v>8663.3390371828282</v>
      </c>
      <c r="V15" s="5">
        <f t="shared" si="14"/>
        <v>8918.0673884895896</v>
      </c>
      <c r="W15" s="5">
        <f t="shared" si="14"/>
        <v>9018.4466752601602</v>
      </c>
      <c r="X15" s="5">
        <f t="shared" si="14"/>
        <v>9120.0537271561479</v>
      </c>
      <c r="Y15" s="5">
        <f t="shared" si="14"/>
        <v>9222.9053012739623</v>
      </c>
    </row>
    <row r="16" spans="2:25" x14ac:dyDescent="0.3">
      <c r="B16" s="12" t="s">
        <v>37</v>
      </c>
      <c r="C16" s="14">
        <f>C45/Main!$D$13</f>
        <v>115.23858321221479</v>
      </c>
      <c r="D16" s="14">
        <f>D45/Main!$D$13</f>
        <v>208.81584932210095</v>
      </c>
      <c r="E16" s="14">
        <f>E45/Main!$D$13</f>
        <v>252.95677904907808</v>
      </c>
      <c r="F16" s="14">
        <f>F45/Main!$D$13</f>
        <v>-2505.2352558213393</v>
      </c>
      <c r="G16" s="14">
        <f>G45/Main!$D$13</f>
        <v>-88.375916410542786</v>
      </c>
      <c r="H16" s="14">
        <f>H45/Main!$D$13</f>
        <v>105.49428250964749</v>
      </c>
      <c r="I16" s="14">
        <f>I45/Main!$D$13</f>
        <v>270.99690332274997</v>
      </c>
      <c r="J16" s="5">
        <v>300</v>
      </c>
      <c r="K16" s="12"/>
      <c r="L16" s="14">
        <f>L45/Main!$D$13</f>
        <v>-2503.6456932549936</v>
      </c>
      <c r="M16" s="14">
        <f>M45/Main!$D$13</f>
        <v>-3554.9767312184708</v>
      </c>
      <c r="N16" s="14">
        <f>N45/Main!$D$13</f>
        <v>-2420.5745891960414</v>
      </c>
      <c r="O16" s="14">
        <f>O45/Main!$D$13</f>
        <v>-1928.2240442379452</v>
      </c>
      <c r="P16" s="14">
        <f>SUM(G16:J16)</f>
        <v>588.11526942185469</v>
      </c>
      <c r="Q16" s="5">
        <f>P16*1.01</f>
        <v>593.99642211607329</v>
      </c>
      <c r="R16" s="5">
        <f t="shared" ref="R16:Y16" si="15">Q16*1.01</f>
        <v>599.93638633723401</v>
      </c>
      <c r="S16" s="5">
        <f t="shared" si="15"/>
        <v>605.93575020060632</v>
      </c>
      <c r="T16" s="5">
        <f t="shared" si="15"/>
        <v>611.99510770261236</v>
      </c>
      <c r="U16" s="5">
        <f t="shared" si="15"/>
        <v>618.1150587796385</v>
      </c>
      <c r="V16" s="5">
        <f t="shared" si="15"/>
        <v>624.29620936743493</v>
      </c>
      <c r="W16" s="5">
        <f t="shared" si="15"/>
        <v>630.53917146110928</v>
      </c>
      <c r="X16" s="5">
        <f t="shared" si="15"/>
        <v>636.8445631757204</v>
      </c>
      <c r="Y16" s="5">
        <f t="shared" si="15"/>
        <v>643.21300880747765</v>
      </c>
    </row>
    <row r="17" spans="2:114" s="1" customFormat="1" x14ac:dyDescent="0.3">
      <c r="B17" s="1" t="s">
        <v>38</v>
      </c>
      <c r="C17" s="13">
        <f>C46/Main!$D$13</f>
        <v>5823.338947567363</v>
      </c>
      <c r="D17" s="13">
        <f>D46/Main!$D$13</f>
        <v>4988.8750344099617</v>
      </c>
      <c r="E17" s="13">
        <f>E46/Main!$D$13</f>
        <v>5260.6055819941021</v>
      </c>
      <c r="F17" s="13">
        <f>F46/Main!$D$13</f>
        <v>3455.1258661041325</v>
      </c>
      <c r="G17" s="13">
        <f>G46/Main!$D$13</f>
        <v>1494.0383212341696</v>
      </c>
      <c r="H17" s="13">
        <f>H46/Main!$D$13</f>
        <v>4425.614949879805</v>
      </c>
      <c r="I17" s="13">
        <f>I46/Main!$D$13</f>
        <v>7888.509920598146</v>
      </c>
      <c r="J17" s="13">
        <f>J14-J15-J16</f>
        <v>4969.4561879707944</v>
      </c>
      <c r="L17" s="13">
        <f>L46/Main!$D$13</f>
        <v>17222.853972178862</v>
      </c>
      <c r="M17" s="13">
        <f>M46/Main!$D$13</f>
        <v>23457.645076342564</v>
      </c>
      <c r="N17" s="13">
        <f>N46/Main!$D$13</f>
        <v>17709.730402263507</v>
      </c>
      <c r="O17" s="13">
        <f>O46/Main!$D$13</f>
        <v>19527.945430075561</v>
      </c>
      <c r="P17" s="13">
        <f>P14-P15-P16</f>
        <v>18777.619379682917</v>
      </c>
      <c r="Q17" s="13">
        <f>Q14-Q15-Q16</f>
        <v>20467.063857936948</v>
      </c>
      <c r="R17" s="13">
        <f t="shared" ref="R17:Y17" si="16">R14-R15-R16</f>
        <v>21635.608738477313</v>
      </c>
      <c r="S17" s="13">
        <f t="shared" si="16"/>
        <v>22676.498086024028</v>
      </c>
      <c r="T17" s="13">
        <f t="shared" si="16"/>
        <v>23561.726187603916</v>
      </c>
      <c r="U17" s="13">
        <f t="shared" si="16"/>
        <v>24039.080662433025</v>
      </c>
      <c r="V17" s="13">
        <f t="shared" si="16"/>
        <v>24757.895588641397</v>
      </c>
      <c r="W17" s="13">
        <f t="shared" si="16"/>
        <v>25037.347519663963</v>
      </c>
      <c r="X17" s="13">
        <f t="shared" si="16"/>
        <v>25320.231429499472</v>
      </c>
      <c r="Y17" s="13">
        <f t="shared" si="16"/>
        <v>25606.594387126112</v>
      </c>
      <c r="Z17" s="1">
        <f t="shared" ref="Z17:BE17" si="17">Y17*(1+$AB$23)</f>
        <v>25350.528443254851</v>
      </c>
      <c r="AA17" s="1">
        <f t="shared" si="17"/>
        <v>25097.023158822303</v>
      </c>
      <c r="AB17" s="1">
        <f t="shared" si="17"/>
        <v>24846.052927234079</v>
      </c>
      <c r="AC17" s="1">
        <f t="shared" si="17"/>
        <v>24597.592397961736</v>
      </c>
      <c r="AD17" s="1">
        <f t="shared" si="17"/>
        <v>24351.616473982118</v>
      </c>
      <c r="AE17" s="1">
        <f t="shared" si="17"/>
        <v>24108.100309242298</v>
      </c>
      <c r="AF17" s="1">
        <f t="shared" si="17"/>
        <v>23867.019306149876</v>
      </c>
      <c r="AG17" s="1">
        <f t="shared" si="17"/>
        <v>23628.349113088378</v>
      </c>
      <c r="AH17" s="1">
        <f t="shared" si="17"/>
        <v>23392.065621957492</v>
      </c>
      <c r="AI17" s="1">
        <f t="shared" si="17"/>
        <v>23158.144965737916</v>
      </c>
      <c r="AJ17" s="1">
        <f t="shared" si="17"/>
        <v>22926.563516080536</v>
      </c>
      <c r="AK17" s="1">
        <f t="shared" si="17"/>
        <v>22697.29788091973</v>
      </c>
      <c r="AL17" s="1">
        <f t="shared" si="17"/>
        <v>22470.324902110533</v>
      </c>
      <c r="AM17" s="1">
        <f t="shared" si="17"/>
        <v>22245.621653089427</v>
      </c>
      <c r="AN17" s="1">
        <f t="shared" si="17"/>
        <v>22023.165436558531</v>
      </c>
      <c r="AO17" s="1">
        <f t="shared" si="17"/>
        <v>21802.933782192944</v>
      </c>
      <c r="AP17" s="1">
        <f t="shared" si="17"/>
        <v>21584.904444371015</v>
      </c>
      <c r="AQ17" s="1">
        <f t="shared" si="17"/>
        <v>21369.055399927303</v>
      </c>
      <c r="AR17" s="1">
        <f t="shared" si="17"/>
        <v>21155.36484592803</v>
      </c>
      <c r="AS17" s="1">
        <f t="shared" si="17"/>
        <v>20943.811197468749</v>
      </c>
      <c r="AT17" s="1">
        <f t="shared" si="17"/>
        <v>20734.373085494062</v>
      </c>
      <c r="AU17" s="1">
        <f t="shared" si="17"/>
        <v>20527.029354639122</v>
      </c>
      <c r="AV17" s="1">
        <f t="shared" si="17"/>
        <v>20321.759061092729</v>
      </c>
      <c r="AW17" s="1">
        <f t="shared" si="17"/>
        <v>20118.541470481803</v>
      </c>
      <c r="AX17" s="1">
        <f t="shared" si="17"/>
        <v>19917.356055776985</v>
      </c>
      <c r="AY17" s="1">
        <f t="shared" si="17"/>
        <v>19718.182495219215</v>
      </c>
      <c r="AZ17" s="1">
        <f t="shared" si="17"/>
        <v>19521.000670267022</v>
      </c>
      <c r="BA17" s="1">
        <f t="shared" si="17"/>
        <v>19325.790663564352</v>
      </c>
      <c r="BB17" s="1">
        <f t="shared" si="17"/>
        <v>19132.532756928707</v>
      </c>
      <c r="BC17" s="1">
        <f t="shared" si="17"/>
        <v>18941.20742935942</v>
      </c>
      <c r="BD17" s="1">
        <f t="shared" si="17"/>
        <v>18751.795355065824</v>
      </c>
      <c r="BE17" s="1">
        <f t="shared" si="17"/>
        <v>18564.277401515166</v>
      </c>
      <c r="BF17" s="1">
        <f t="shared" ref="BF17:CK17" si="18">BE17*(1+$AB$23)</f>
        <v>18378.634627500014</v>
      </c>
      <c r="BG17" s="1">
        <f t="shared" si="18"/>
        <v>18194.848281225015</v>
      </c>
      <c r="BH17" s="1">
        <f t="shared" si="18"/>
        <v>18012.899798412764</v>
      </c>
      <c r="BI17" s="1">
        <f t="shared" si="18"/>
        <v>17832.770800428636</v>
      </c>
      <c r="BJ17" s="1">
        <f t="shared" si="18"/>
        <v>17654.44309242435</v>
      </c>
      <c r="BK17" s="1">
        <f t="shared" si="18"/>
        <v>17477.898661500105</v>
      </c>
      <c r="BL17" s="1">
        <f t="shared" si="18"/>
        <v>17303.119674885103</v>
      </c>
      <c r="BM17" s="1">
        <f t="shared" si="18"/>
        <v>17130.088478136251</v>
      </c>
      <c r="BN17" s="1">
        <f t="shared" si="18"/>
        <v>16958.787593354889</v>
      </c>
      <c r="BO17" s="1">
        <f t="shared" si="18"/>
        <v>16789.199717421339</v>
      </c>
      <c r="BP17" s="1">
        <f t="shared" si="18"/>
        <v>16621.307720247125</v>
      </c>
      <c r="BQ17" s="1">
        <f t="shared" si="18"/>
        <v>16455.094643044653</v>
      </c>
      <c r="BR17" s="1">
        <f t="shared" si="18"/>
        <v>16290.543696614206</v>
      </c>
      <c r="BS17" s="1">
        <f t="shared" si="18"/>
        <v>16127.638259648063</v>
      </c>
      <c r="BT17" s="1">
        <f t="shared" si="18"/>
        <v>15966.361877051582</v>
      </c>
      <c r="BU17" s="1">
        <f t="shared" si="18"/>
        <v>15806.698258281067</v>
      </c>
      <c r="BV17" s="1">
        <f t="shared" si="18"/>
        <v>15648.631275698257</v>
      </c>
      <c r="BW17" s="1">
        <f t="shared" si="18"/>
        <v>15492.144962941275</v>
      </c>
      <c r="BX17" s="1">
        <f t="shared" si="18"/>
        <v>15337.223513311861</v>
      </c>
      <c r="BY17" s="1">
        <f t="shared" si="18"/>
        <v>15183.851278178743</v>
      </c>
      <c r="BZ17" s="1">
        <f t="shared" si="18"/>
        <v>15032.012765396956</v>
      </c>
      <c r="CA17" s="1">
        <f t="shared" si="18"/>
        <v>14881.692637742986</v>
      </c>
      <c r="CB17" s="1">
        <f t="shared" si="18"/>
        <v>14732.875711365556</v>
      </c>
      <c r="CC17" s="1">
        <f t="shared" si="18"/>
        <v>14585.5469542519</v>
      </c>
      <c r="CD17" s="1">
        <f t="shared" si="18"/>
        <v>14439.691484709381</v>
      </c>
      <c r="CE17" s="1">
        <f t="shared" si="18"/>
        <v>14295.294569862288</v>
      </c>
      <c r="CF17" s="1">
        <f t="shared" si="18"/>
        <v>14152.341624163664</v>
      </c>
      <c r="CG17" s="1">
        <f t="shared" si="18"/>
        <v>14010.818207922028</v>
      </c>
      <c r="CH17" s="1">
        <f t="shared" si="18"/>
        <v>13870.710025842807</v>
      </c>
      <c r="CI17" s="1">
        <f t="shared" si="18"/>
        <v>13732.002925584378</v>
      </c>
      <c r="CJ17" s="1">
        <f t="shared" si="18"/>
        <v>13594.682896328535</v>
      </c>
      <c r="CK17" s="1">
        <f t="shared" si="18"/>
        <v>13458.736067365249</v>
      </c>
      <c r="CL17" s="1">
        <f t="shared" ref="CL17:DJ17" si="19">CK17*(1+$AB$23)</f>
        <v>13324.148706691596</v>
      </c>
      <c r="CM17" s="1">
        <f t="shared" si="19"/>
        <v>13190.90721962468</v>
      </c>
      <c r="CN17" s="1">
        <f t="shared" si="19"/>
        <v>13058.998147428432</v>
      </c>
      <c r="CO17" s="1">
        <f t="shared" si="19"/>
        <v>12928.408165954148</v>
      </c>
      <c r="CP17" s="1">
        <f t="shared" si="19"/>
        <v>12799.124084294606</v>
      </c>
      <c r="CQ17" s="1">
        <f t="shared" si="19"/>
        <v>12671.13284345166</v>
      </c>
      <c r="CR17" s="1">
        <f t="shared" si="19"/>
        <v>12544.421515017144</v>
      </c>
      <c r="CS17" s="1">
        <f t="shared" si="19"/>
        <v>12418.977299866972</v>
      </c>
      <c r="CT17" s="1">
        <f t="shared" si="19"/>
        <v>12294.787526868302</v>
      </c>
      <c r="CU17" s="1">
        <f t="shared" si="19"/>
        <v>12171.839651599619</v>
      </c>
      <c r="CV17" s="1">
        <f t="shared" si="19"/>
        <v>12050.121255083623</v>
      </c>
      <c r="CW17" s="1">
        <f t="shared" si="19"/>
        <v>11929.620042532786</v>
      </c>
      <c r="CX17" s="1">
        <f t="shared" si="19"/>
        <v>11810.323842107458</v>
      </c>
      <c r="CY17" s="1">
        <f t="shared" si="19"/>
        <v>11692.220603686384</v>
      </c>
      <c r="CZ17" s="1">
        <f t="shared" si="19"/>
        <v>11575.29839764952</v>
      </c>
      <c r="DA17" s="1">
        <f t="shared" si="19"/>
        <v>11459.545413673024</v>
      </c>
      <c r="DB17" s="1">
        <f t="shared" si="19"/>
        <v>11344.949959536294</v>
      </c>
      <c r="DC17" s="1">
        <f t="shared" si="19"/>
        <v>11231.500459940931</v>
      </c>
      <c r="DD17" s="1">
        <f t="shared" si="19"/>
        <v>11119.185455341521</v>
      </c>
      <c r="DE17" s="1">
        <f t="shared" si="19"/>
        <v>11007.993600788106</v>
      </c>
      <c r="DF17" s="1">
        <f t="shared" si="19"/>
        <v>10897.913664780224</v>
      </c>
      <c r="DG17" s="1">
        <f t="shared" si="19"/>
        <v>10788.934528132422</v>
      </c>
      <c r="DH17" s="1">
        <f t="shared" si="19"/>
        <v>10681.045182851098</v>
      </c>
      <c r="DI17" s="1">
        <f t="shared" si="19"/>
        <v>10574.234731022587</v>
      </c>
      <c r="DJ17" s="1">
        <f t="shared" si="19"/>
        <v>10468.492383712361</v>
      </c>
    </row>
    <row r="18" spans="2:114" x14ac:dyDescent="0.3">
      <c r="B18" s="12" t="s">
        <v>1</v>
      </c>
      <c r="C18" s="14">
        <f>C47/Main!$D$13</f>
        <v>27.718585106627245</v>
      </c>
      <c r="D18" s="14">
        <f>D47/Main!$D$13</f>
        <v>27.718585106627245</v>
      </c>
      <c r="E18" s="14">
        <f t="shared" ref="E18:H18" si="20">E47/2</f>
        <v>1473.5</v>
      </c>
      <c r="F18" s="14">
        <f t="shared" si="20"/>
        <v>1473.5</v>
      </c>
      <c r="G18" s="14">
        <f t="shared" si="20"/>
        <v>1473.5</v>
      </c>
      <c r="H18" s="14">
        <f t="shared" si="20"/>
        <v>1473.5</v>
      </c>
      <c r="I18" s="14">
        <f t="shared" ref="I18" si="21">I47/2</f>
        <v>1631.5</v>
      </c>
      <c r="J18" s="14">
        <v>1632</v>
      </c>
      <c r="K18" s="12"/>
      <c r="L18" s="17">
        <f>L47/2</f>
        <v>1473.5</v>
      </c>
      <c r="M18" s="17">
        <f>M47/2</f>
        <v>1473.5</v>
      </c>
      <c r="N18" s="17">
        <f t="shared" ref="N18:O18" si="22">N47/2</f>
        <v>1435.5</v>
      </c>
      <c r="O18" s="17">
        <f t="shared" si="22"/>
        <v>1415.5</v>
      </c>
      <c r="P18" s="5">
        <v>3263</v>
      </c>
      <c r="Q18" s="14">
        <v>1632</v>
      </c>
      <c r="R18" s="14">
        <v>1632</v>
      </c>
      <c r="S18" s="14">
        <v>1632</v>
      </c>
      <c r="T18" s="14">
        <v>1632</v>
      </c>
      <c r="U18" s="14">
        <v>1632</v>
      </c>
      <c r="V18" s="14">
        <v>1632</v>
      </c>
      <c r="W18" s="14">
        <v>1632</v>
      </c>
      <c r="X18" s="14">
        <v>1632</v>
      </c>
      <c r="Y18" s="14">
        <v>1632</v>
      </c>
    </row>
    <row r="19" spans="2:114" s="1" customFormat="1" x14ac:dyDescent="0.3">
      <c r="B19" s="1" t="s">
        <v>39</v>
      </c>
      <c r="C19" s="22">
        <f>C48/Main!$D$13</f>
        <v>1.9760227171928615</v>
      </c>
      <c r="D19" s="22">
        <f>D48/Main!$D$13</f>
        <v>1.6928656377366682</v>
      </c>
      <c r="E19" s="22">
        <f>E48/Main!$D$13</f>
        <v>1.7850714563943337</v>
      </c>
      <c r="F19" s="22">
        <f>F48/Main!$D$13</f>
        <v>1.1724214001032007</v>
      </c>
      <c r="G19" s="22">
        <f>G48/Main!$D$13</f>
        <v>0.50696923014393269</v>
      </c>
      <c r="H19" s="22">
        <f>H48/Main!$D$13</f>
        <v>1.5017356463793023</v>
      </c>
      <c r="I19" s="22">
        <f>I48/Main!$D$13</f>
        <v>2.4175635674526958</v>
      </c>
      <c r="J19" s="22">
        <f>J17/J18</f>
        <v>3.0450099190997513</v>
      </c>
      <c r="L19" s="18">
        <f>L48/Main!$D$13</f>
        <v>5.8441988368438622</v>
      </c>
      <c r="M19" s="18">
        <f>M17/M18</f>
        <v>15.919677690086571</v>
      </c>
      <c r="N19" s="18">
        <f t="shared" ref="N19:Y19" si="23">N17/N18</f>
        <v>12.336976943408922</v>
      </c>
      <c r="O19" s="18">
        <f t="shared" si="23"/>
        <v>13.79579330983791</v>
      </c>
      <c r="P19" s="22">
        <f>P17/P18</f>
        <v>5.7547101991060119</v>
      </c>
      <c r="Q19" s="18">
        <f t="shared" si="23"/>
        <v>12.541093050206463</v>
      </c>
      <c r="R19" s="18">
        <f t="shared" si="23"/>
        <v>13.257113197596393</v>
      </c>
      <c r="S19" s="18">
        <f t="shared" si="23"/>
        <v>13.894913042906881</v>
      </c>
      <c r="T19" s="18">
        <f t="shared" si="23"/>
        <v>14.437332222796517</v>
      </c>
      <c r="U19" s="18">
        <f t="shared" si="23"/>
        <v>14.729828837275138</v>
      </c>
      <c r="V19" s="18">
        <f t="shared" si="23"/>
        <v>15.170279159706737</v>
      </c>
      <c r="W19" s="18">
        <f t="shared" si="23"/>
        <v>15.341511960578408</v>
      </c>
      <c r="X19" s="18">
        <f t="shared" si="23"/>
        <v>15.514847689644284</v>
      </c>
      <c r="Y19" s="18">
        <f t="shared" si="23"/>
        <v>15.69031518819002</v>
      </c>
    </row>
    <row r="21" spans="2:114" x14ac:dyDescent="0.3">
      <c r="B21" s="1" t="s">
        <v>42</v>
      </c>
      <c r="C21" s="1"/>
      <c r="D21" s="1"/>
      <c r="E21" s="1"/>
      <c r="F21" s="1"/>
      <c r="G21" s="15">
        <f>G3/C3-1</f>
        <v>-0.40414022402782546</v>
      </c>
      <c r="H21" s="15">
        <f t="shared" ref="H21:J21" si="24">H3/D3-1</f>
        <v>-0.11294704048865245</v>
      </c>
      <c r="I21" s="15">
        <f t="shared" si="24"/>
        <v>7.111393177307046E-2</v>
      </c>
      <c r="J21" s="15">
        <f t="shared" si="24"/>
        <v>0.14999999999999991</v>
      </c>
      <c r="K21" s="1"/>
      <c r="L21" s="15"/>
      <c r="M21" s="15">
        <f t="shared" ref="M21:Y21" si="25">M3/L3-1</f>
        <v>6.4583271204430082E-2</v>
      </c>
      <c r="N21" s="15">
        <f t="shared" si="25"/>
        <v>2.8801399342603062E-2</v>
      </c>
      <c r="O21" s="15">
        <f t="shared" si="25"/>
        <v>-9.7827076253467204E-3</v>
      </c>
      <c r="P21" s="15">
        <f t="shared" si="25"/>
        <v>-8.0104779179359653E-2</v>
      </c>
      <c r="Q21" s="15">
        <f t="shared" si="25"/>
        <v>0.12999999999999989</v>
      </c>
      <c r="R21" s="15">
        <f t="shared" si="25"/>
        <v>5.0000000000000044E-2</v>
      </c>
      <c r="S21" s="15">
        <f t="shared" si="25"/>
        <v>4.0000000000000036E-2</v>
      </c>
      <c r="T21" s="15">
        <f t="shared" si="25"/>
        <v>3.0000000000000027E-2</v>
      </c>
      <c r="U21" s="15">
        <f t="shared" si="25"/>
        <v>2.0000000000000018E-2</v>
      </c>
      <c r="V21" s="15">
        <f t="shared" si="25"/>
        <v>2.0000000000000018E-2</v>
      </c>
      <c r="W21" s="15">
        <f t="shared" si="25"/>
        <v>1.0000000000000009E-2</v>
      </c>
      <c r="X21" s="15">
        <f t="shared" si="25"/>
        <v>1.0000000000000009E-2</v>
      </c>
      <c r="Y21" s="15">
        <f t="shared" si="25"/>
        <v>1.0000000000000009E-2</v>
      </c>
    </row>
    <row r="22" spans="2:114" x14ac:dyDescent="0.3">
      <c r="B22" s="1" t="s">
        <v>40</v>
      </c>
      <c r="C22" s="15">
        <f t="shared" ref="C22:J22" si="26">C5/C3</f>
        <v>0.18806847005668625</v>
      </c>
      <c r="D22" s="15">
        <f t="shared" si="26"/>
        <v>0.17697934949359723</v>
      </c>
      <c r="E22" s="15">
        <f t="shared" si="26"/>
        <v>0.18165166696872401</v>
      </c>
      <c r="F22" s="15">
        <f t="shared" si="26"/>
        <v>0.17546616410906901</v>
      </c>
      <c r="G22" s="15">
        <f t="shared" si="26"/>
        <v>0.11942020467762535</v>
      </c>
      <c r="H22" s="15">
        <f t="shared" si="26"/>
        <v>0.16948252597599769</v>
      </c>
      <c r="I22" s="15">
        <f t="shared" si="26"/>
        <v>0.20327552088139042</v>
      </c>
      <c r="J22" s="15">
        <f t="shared" si="26"/>
        <v>0.18</v>
      </c>
      <c r="K22" s="1"/>
      <c r="L22" s="15">
        <f t="shared" ref="L22:Y22" si="27">L5/L3</f>
        <v>0.17620839191869986</v>
      </c>
      <c r="M22" s="15">
        <f t="shared" si="27"/>
        <v>0.18687707861703617</v>
      </c>
      <c r="N22" s="15">
        <f t="shared" si="27"/>
        <v>0.18010829929687938</v>
      </c>
      <c r="O22" s="15">
        <f t="shared" si="27"/>
        <v>0.18067589192806999</v>
      </c>
      <c r="P22" s="15">
        <f t="shared" si="27"/>
        <v>0.17417891028292767</v>
      </c>
      <c r="Q22" s="15">
        <f t="shared" si="27"/>
        <v>0.18</v>
      </c>
      <c r="R22" s="15">
        <f t="shared" si="27"/>
        <v>0.18</v>
      </c>
      <c r="S22" s="15">
        <f t="shared" si="27"/>
        <v>0.18</v>
      </c>
      <c r="T22" s="15">
        <f t="shared" si="27"/>
        <v>0.18</v>
      </c>
      <c r="U22" s="15">
        <f t="shared" si="27"/>
        <v>0.18</v>
      </c>
      <c r="V22" s="15">
        <f t="shared" si="27"/>
        <v>0.18</v>
      </c>
      <c r="W22" s="15">
        <f t="shared" si="27"/>
        <v>0.18</v>
      </c>
      <c r="X22" s="15">
        <f t="shared" si="27"/>
        <v>0.18</v>
      </c>
      <c r="Y22" s="15">
        <f t="shared" si="27"/>
        <v>0.18</v>
      </c>
    </row>
    <row r="23" spans="2:114" x14ac:dyDescent="0.3">
      <c r="B23" s="12" t="s">
        <v>41</v>
      </c>
      <c r="C23" s="23">
        <f t="shared" ref="C23:J23" si="28">C7/C3</f>
        <v>9.5918250785848397E-2</v>
      </c>
      <c r="D23" s="23">
        <f t="shared" si="28"/>
        <v>8.6238923012217861E-2</v>
      </c>
      <c r="E23" s="23">
        <f t="shared" si="28"/>
        <v>8.4124432196848675E-2</v>
      </c>
      <c r="F23" s="23">
        <f t="shared" si="28"/>
        <v>5.7958713066497539E-2</v>
      </c>
      <c r="G23" s="23">
        <f t="shared" si="28"/>
        <v>3.0255634025068705E-3</v>
      </c>
      <c r="H23" s="23">
        <f t="shared" si="28"/>
        <v>7.4701668495357615E-2</v>
      </c>
      <c r="I23" s="23">
        <f t="shared" si="28"/>
        <v>0.12121915594932632</v>
      </c>
      <c r="J23" s="23">
        <f t="shared" si="28"/>
        <v>8.5994039165942809E-2</v>
      </c>
      <c r="K23" s="12"/>
      <c r="L23" s="23">
        <f t="shared" ref="L23:Y23" si="29">L7/L3</f>
        <v>7.2267204856667849E-2</v>
      </c>
      <c r="M23" s="23">
        <f t="shared" si="29"/>
        <v>8.1684888549877113E-2</v>
      </c>
      <c r="N23" s="23">
        <f t="shared" si="29"/>
        <v>8.1637366582410498E-2</v>
      </c>
      <c r="O23" s="23">
        <f t="shared" si="29"/>
        <v>8.1619433777329442E-2</v>
      </c>
      <c r="P23" s="23">
        <f t="shared" si="29"/>
        <v>7.9778300930836654E-2</v>
      </c>
      <c r="Q23" s="23">
        <f t="shared" si="29"/>
        <v>8.3928583402739204E-2</v>
      </c>
      <c r="R23" s="23">
        <f t="shared" si="29"/>
        <v>8.4843549275094091E-2</v>
      </c>
      <c r="S23" s="23">
        <f t="shared" si="29"/>
        <v>8.5758515147448935E-2</v>
      </c>
      <c r="T23" s="23">
        <f t="shared" si="29"/>
        <v>8.6673481019803794E-2</v>
      </c>
      <c r="U23" s="23">
        <f t="shared" si="29"/>
        <v>8.6673481019803808E-2</v>
      </c>
      <c r="V23" s="23">
        <f t="shared" si="29"/>
        <v>8.7588446892158667E-2</v>
      </c>
      <c r="W23" s="23">
        <f t="shared" si="29"/>
        <v>8.7588446892158681E-2</v>
      </c>
      <c r="X23" s="23">
        <f t="shared" si="29"/>
        <v>8.7588446892158681E-2</v>
      </c>
      <c r="Y23" s="23">
        <f t="shared" si="29"/>
        <v>8.7588446892158681E-2</v>
      </c>
      <c r="AA23" t="s">
        <v>43</v>
      </c>
      <c r="AB23" s="19">
        <v>-0.01</v>
      </c>
    </row>
    <row r="24" spans="2:114" x14ac:dyDescent="0.3">
      <c r="B24" s="12" t="s">
        <v>70</v>
      </c>
      <c r="C24" s="23"/>
      <c r="D24" s="23"/>
      <c r="E24" s="23"/>
      <c r="F24" s="23"/>
      <c r="G24" s="23">
        <f t="shared" ref="G24:J24" si="30">G6/C6-1</f>
        <v>-0.24737146125812881</v>
      </c>
      <c r="H24" s="23">
        <f t="shared" si="30"/>
        <v>-7.3448920250798966E-2</v>
      </c>
      <c r="I24" s="23">
        <f t="shared" si="30"/>
        <v>-9.8798239538161692E-2</v>
      </c>
      <c r="J24" s="23">
        <f t="shared" si="30"/>
        <v>-7.999999999999996E-2</v>
      </c>
      <c r="K24" s="12"/>
      <c r="L24" s="23"/>
      <c r="M24" s="23">
        <f t="shared" ref="M24:Y24" si="31">M6/L6-1</f>
        <v>7.7396256211902825E-2</v>
      </c>
      <c r="N24" s="23">
        <f t="shared" si="31"/>
        <v>-3.693388923133667E-2</v>
      </c>
      <c r="O24" s="23">
        <f t="shared" si="31"/>
        <v>-3.8947019353565704E-3</v>
      </c>
      <c r="P24" s="23">
        <f t="shared" si="31"/>
        <v>-0.1233416679062278</v>
      </c>
      <c r="Q24" s="23">
        <f t="shared" si="31"/>
        <v>0.14999999999999991</v>
      </c>
      <c r="R24" s="23">
        <f t="shared" si="31"/>
        <v>4.0000000000000036E-2</v>
      </c>
      <c r="S24" s="23">
        <f t="shared" si="31"/>
        <v>3.0000000000000027E-2</v>
      </c>
      <c r="T24" s="23">
        <f t="shared" si="31"/>
        <v>2.0000000000000018E-2</v>
      </c>
      <c r="U24" s="23">
        <f t="shared" si="31"/>
        <v>2.0000000000000018E-2</v>
      </c>
      <c r="V24" s="23">
        <f t="shared" si="31"/>
        <v>1.0000000000000009E-2</v>
      </c>
      <c r="W24" s="23">
        <f t="shared" si="31"/>
        <v>1.0000000000000009E-2</v>
      </c>
      <c r="X24" s="23">
        <f t="shared" si="31"/>
        <v>1.0000000000000009E-2</v>
      </c>
      <c r="Y24" s="23">
        <f t="shared" si="31"/>
        <v>1.0000000000000009E-2</v>
      </c>
      <c r="AA24" t="s">
        <v>44</v>
      </c>
      <c r="AB24" s="19">
        <v>0.05</v>
      </c>
    </row>
    <row r="25" spans="2:114" x14ac:dyDescent="0.3">
      <c r="B25" s="12" t="s">
        <v>36</v>
      </c>
      <c r="C25" s="23">
        <f t="shared" ref="C25:J25" si="32">C15/C14</f>
        <v>0.25805773081515049</v>
      </c>
      <c r="D25" s="23">
        <f t="shared" si="32"/>
        <v>0.28310079329558208</v>
      </c>
      <c r="E25" s="23">
        <f t="shared" si="32"/>
        <v>0.24062429560770107</v>
      </c>
      <c r="F25" s="23">
        <f t="shared" si="32"/>
        <v>0.37212613307138503</v>
      </c>
      <c r="G25" s="23">
        <f t="shared" si="32"/>
        <v>-0.26400189454809947</v>
      </c>
      <c r="H25" s="23">
        <f t="shared" si="32"/>
        <v>0.21101342653402819</v>
      </c>
      <c r="I25" s="23">
        <f t="shared" si="32"/>
        <v>0.23981114169367837</v>
      </c>
      <c r="J25" s="23">
        <f t="shared" si="32"/>
        <v>0.24</v>
      </c>
      <c r="K25" s="12"/>
      <c r="L25" s="23">
        <f t="shared" ref="L25:Y25" si="33">L15/L14</f>
        <v>0.28666826205371898</v>
      </c>
      <c r="M25" s="23">
        <f t="shared" si="33"/>
        <v>0.19248985566867105</v>
      </c>
      <c r="N25" s="23">
        <f t="shared" si="33"/>
        <v>0.28875699255950099</v>
      </c>
      <c r="O25" s="23">
        <f t="shared" si="33"/>
        <v>0.2675284300089994</v>
      </c>
      <c r="P25" s="23">
        <f t="shared" si="33"/>
        <v>0.2102723610702259</v>
      </c>
      <c r="Q25" s="23">
        <f t="shared" si="33"/>
        <v>0.26</v>
      </c>
      <c r="R25" s="23">
        <f t="shared" si="33"/>
        <v>0.26</v>
      </c>
      <c r="S25" s="23">
        <f t="shared" si="33"/>
        <v>0.26</v>
      </c>
      <c r="T25" s="23">
        <f t="shared" si="33"/>
        <v>0.26</v>
      </c>
      <c r="U25" s="23">
        <f t="shared" si="33"/>
        <v>0.26</v>
      </c>
      <c r="V25" s="23">
        <f t="shared" si="33"/>
        <v>0.26</v>
      </c>
      <c r="W25" s="23">
        <f t="shared" si="33"/>
        <v>0.26</v>
      </c>
      <c r="X25" s="23">
        <f t="shared" si="33"/>
        <v>0.26</v>
      </c>
      <c r="Y25" s="23">
        <f t="shared" si="33"/>
        <v>0.26</v>
      </c>
      <c r="AA25" t="s">
        <v>45</v>
      </c>
      <c r="AB25" s="2">
        <f>NPV(AB24,P17:DJ17)</f>
        <v>434780.56874944729</v>
      </c>
    </row>
    <row r="26" spans="2:114" x14ac:dyDescent="0.3"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AA26" t="s">
        <v>50</v>
      </c>
      <c r="AB26" s="2">
        <f>Main!D10</f>
        <v>-146463.68690602612</v>
      </c>
    </row>
    <row r="27" spans="2:114" x14ac:dyDescent="0.3">
      <c r="AA27" t="s">
        <v>46</v>
      </c>
      <c r="AB27" s="2">
        <f>AB25+AB26</f>
        <v>288316.88184342114</v>
      </c>
    </row>
    <row r="28" spans="2:114" x14ac:dyDescent="0.3">
      <c r="AA28" t="s">
        <v>47</v>
      </c>
      <c r="AB28" s="2">
        <f>AB27/Y18</f>
        <v>176.66475603150806</v>
      </c>
    </row>
    <row r="29" spans="2:114" x14ac:dyDescent="0.3">
      <c r="AA29" t="s">
        <v>48</v>
      </c>
      <c r="AB29" s="2">
        <f>Main!D3</f>
        <v>147.97</v>
      </c>
    </row>
    <row r="30" spans="2:114" x14ac:dyDescent="0.3">
      <c r="AA30" s="1" t="s">
        <v>49</v>
      </c>
      <c r="AB30" s="15">
        <f>AB28/AB29-1</f>
        <v>0.19392279537411672</v>
      </c>
    </row>
    <row r="31" spans="2:114" x14ac:dyDescent="0.3">
      <c r="AA31" t="s">
        <v>52</v>
      </c>
      <c r="AB31" s="20" t="s">
        <v>71</v>
      </c>
    </row>
    <row r="32" spans="2:114" x14ac:dyDescent="0.3">
      <c r="B32" s="1" t="s">
        <v>29</v>
      </c>
      <c r="C32" s="13">
        <v>7721273</v>
      </c>
      <c r="D32" s="13">
        <v>7637004</v>
      </c>
      <c r="E32" s="13">
        <v>7608931</v>
      </c>
      <c r="F32" s="13">
        <f>O32-E32-D32-C32</f>
        <v>6962784</v>
      </c>
      <c r="G32" s="13">
        <v>4600796</v>
      </c>
      <c r="H32" s="13">
        <v>6774427</v>
      </c>
      <c r="I32" s="13">
        <v>8150032</v>
      </c>
      <c r="J32" s="1"/>
      <c r="K32" s="1"/>
      <c r="L32" s="13">
        <v>27597193</v>
      </c>
      <c r="M32" s="13">
        <v>29379510</v>
      </c>
      <c r="N32" s="13">
        <v>30225681</v>
      </c>
      <c r="O32" s="13">
        <v>29929992</v>
      </c>
      <c r="P32" s="13">
        <v>26500000</v>
      </c>
    </row>
    <row r="33" spans="2:29" x14ac:dyDescent="0.3">
      <c r="B33" t="s">
        <v>30</v>
      </c>
      <c r="C33" s="5">
        <f>5927739+341406</f>
        <v>6269145</v>
      </c>
      <c r="D33" s="5">
        <f>5973620+311792</f>
        <v>6285412</v>
      </c>
      <c r="E33" s="5">
        <f>5866014+360742</f>
        <v>6226756</v>
      </c>
      <c r="F33" s="14">
        <f>O33-E33-D33-C33</f>
        <v>5741051</v>
      </c>
      <c r="G33" s="5">
        <f>3726300+325068</f>
        <v>4051368</v>
      </c>
      <c r="H33" s="5">
        <f>5351939+274341</f>
        <v>5626280</v>
      </c>
      <c r="I33" s="5">
        <f>6211206+282124</f>
        <v>6493330</v>
      </c>
      <c r="L33" s="5">
        <f>21543035+1191301</f>
        <v>22734336</v>
      </c>
      <c r="M33" s="5">
        <f>22600474+1288679</f>
        <v>23889153</v>
      </c>
      <c r="N33" s="5">
        <f>23389495+1392290</f>
        <v>24781785</v>
      </c>
      <c r="O33" s="5">
        <f>23142744+1379620</f>
        <v>24522364</v>
      </c>
      <c r="P33" s="5">
        <f>P32-P34</f>
        <v>22525000</v>
      </c>
    </row>
    <row r="34" spans="2:29" x14ac:dyDescent="0.3">
      <c r="B34" s="1" t="s">
        <v>31</v>
      </c>
      <c r="C34" s="13">
        <f t="shared" ref="C34:I34" si="34">C32-C33</f>
        <v>1452128</v>
      </c>
      <c r="D34" s="13">
        <f t="shared" si="34"/>
        <v>1351592</v>
      </c>
      <c r="E34" s="13">
        <f t="shared" si="34"/>
        <v>1382175</v>
      </c>
      <c r="F34" s="13">
        <f t="shared" si="34"/>
        <v>1221733</v>
      </c>
      <c r="G34" s="13">
        <f t="shared" si="34"/>
        <v>549428</v>
      </c>
      <c r="H34" s="13">
        <f t="shared" si="34"/>
        <v>1148147</v>
      </c>
      <c r="I34" s="13">
        <f t="shared" si="34"/>
        <v>1656702</v>
      </c>
      <c r="J34" s="1"/>
      <c r="K34" s="1"/>
      <c r="L34" s="13">
        <f>L32-L33</f>
        <v>4862857</v>
      </c>
      <c r="M34" s="13">
        <f>M32-M33</f>
        <v>5490357</v>
      </c>
      <c r="N34" s="13">
        <f>N32-N33</f>
        <v>5443896</v>
      </c>
      <c r="O34" s="13">
        <f>O32-O33</f>
        <v>5407628</v>
      </c>
      <c r="P34" s="13">
        <f>P32*0.15</f>
        <v>3975000</v>
      </c>
      <c r="AC34" t="s">
        <v>51</v>
      </c>
    </row>
    <row r="35" spans="2:29" x14ac:dyDescent="0.3">
      <c r="B35" t="s">
        <v>32</v>
      </c>
      <c r="C35" s="5">
        <v>711517</v>
      </c>
      <c r="D35" s="5">
        <v>692985</v>
      </c>
      <c r="E35" s="5">
        <v>742078</v>
      </c>
      <c r="F35" s="14">
        <f>O35-E35-D35-C35</f>
        <v>818179</v>
      </c>
      <c r="G35" s="5">
        <v>535508</v>
      </c>
      <c r="H35" s="5">
        <v>642086</v>
      </c>
      <c r="I35" s="5">
        <v>668762</v>
      </c>
      <c r="L35" s="5">
        <v>2868485</v>
      </c>
      <c r="M35" s="5">
        <v>3090495</v>
      </c>
      <c r="N35" s="5">
        <v>2976351</v>
      </c>
      <c r="O35" s="5">
        <v>2964759</v>
      </c>
      <c r="P35" s="5">
        <f>P34-P36</f>
        <v>1975000</v>
      </c>
    </row>
    <row r="36" spans="2:29" x14ac:dyDescent="0.3">
      <c r="B36" s="1" t="s">
        <v>33</v>
      </c>
      <c r="C36" s="13">
        <f t="shared" ref="C36:I36" si="35">C34-C35</f>
        <v>740611</v>
      </c>
      <c r="D36" s="13">
        <f t="shared" si="35"/>
        <v>658607</v>
      </c>
      <c r="E36" s="13">
        <f t="shared" si="35"/>
        <v>640097</v>
      </c>
      <c r="F36" s="13">
        <f t="shared" si="35"/>
        <v>403554</v>
      </c>
      <c r="G36" s="13">
        <f t="shared" si="35"/>
        <v>13920</v>
      </c>
      <c r="H36" s="13">
        <f t="shared" si="35"/>
        <v>506061</v>
      </c>
      <c r="I36" s="13">
        <f t="shared" si="35"/>
        <v>987940</v>
      </c>
      <c r="J36" s="1"/>
      <c r="K36" s="1"/>
      <c r="L36" s="13">
        <f>L34-L35</f>
        <v>1994372</v>
      </c>
      <c r="M36" s="13">
        <f>M34-M35</f>
        <v>2399862</v>
      </c>
      <c r="N36" s="13">
        <f>N34-N35</f>
        <v>2467545</v>
      </c>
      <c r="O36" s="13">
        <f>O34-O35</f>
        <v>2442869</v>
      </c>
      <c r="P36" s="13">
        <v>2000000</v>
      </c>
    </row>
    <row r="37" spans="2:29" x14ac:dyDescent="0.3">
      <c r="B37" s="12" t="s">
        <v>64</v>
      </c>
      <c r="C37" s="14">
        <v>-104744</v>
      </c>
      <c r="D37" s="14">
        <v>-95122</v>
      </c>
      <c r="E37" s="14">
        <v>-75836</v>
      </c>
      <c r="F37" s="14">
        <f>O37-E37-D37-C37</f>
        <v>42832</v>
      </c>
      <c r="G37" s="14">
        <v>12572</v>
      </c>
      <c r="H37" s="14">
        <v>-88962</v>
      </c>
      <c r="I37" s="14">
        <v>-125084</v>
      </c>
      <c r="J37" s="1"/>
      <c r="K37" s="1"/>
      <c r="L37" s="13"/>
      <c r="M37" s="13"/>
      <c r="N37" s="13"/>
      <c r="O37" s="14">
        <v>-232870</v>
      </c>
      <c r="P37" s="13"/>
    </row>
    <row r="38" spans="2:29" x14ac:dyDescent="0.3">
      <c r="B38" s="12" t="s">
        <v>65</v>
      </c>
      <c r="C38" s="14">
        <v>-77551</v>
      </c>
      <c r="D38" s="14">
        <v>-64152</v>
      </c>
      <c r="E38" s="14">
        <v>-61093</v>
      </c>
      <c r="F38" s="14">
        <f>O38-E38-D38-C38</f>
        <v>235013</v>
      </c>
      <c r="G38" s="14">
        <v>-114789</v>
      </c>
      <c r="H38" s="14">
        <v>-53185</v>
      </c>
      <c r="I38" s="14">
        <v>-52879</v>
      </c>
      <c r="J38" s="1"/>
      <c r="K38" s="1"/>
      <c r="L38" s="13"/>
      <c r="M38" s="13"/>
      <c r="N38" s="13"/>
      <c r="O38" s="14">
        <v>32217</v>
      </c>
      <c r="P38" s="13"/>
    </row>
    <row r="39" spans="2:29" x14ac:dyDescent="0.3">
      <c r="B39" s="12" t="s">
        <v>66</v>
      </c>
      <c r="C39" s="14">
        <v>9842</v>
      </c>
      <c r="D39" s="14">
        <v>12707</v>
      </c>
      <c r="E39" s="14">
        <v>11851</v>
      </c>
      <c r="F39" s="14">
        <f>O39-E39-D39-C39</f>
        <v>44620</v>
      </c>
      <c r="G39" s="14">
        <v>10012</v>
      </c>
      <c r="H39" s="14">
        <v>13225</v>
      </c>
      <c r="I39" s="14">
        <v>9859</v>
      </c>
      <c r="J39" s="1"/>
      <c r="K39" s="1"/>
      <c r="L39" s="13"/>
      <c r="M39" s="13"/>
      <c r="N39" s="13"/>
      <c r="O39" s="14">
        <v>79020</v>
      </c>
      <c r="P39" s="13"/>
    </row>
    <row r="40" spans="2:29" x14ac:dyDescent="0.3">
      <c r="B40" s="12" t="s">
        <v>68</v>
      </c>
      <c r="C40" s="14">
        <v>63060</v>
      </c>
      <c r="D40" s="14">
        <v>20252</v>
      </c>
      <c r="E40" s="14">
        <v>-26326</v>
      </c>
      <c r="F40" s="14">
        <f>O40-E40-D40-C40</f>
        <v>-32386</v>
      </c>
      <c r="G40" s="14">
        <v>-8510</v>
      </c>
      <c r="H40" s="14">
        <v>20695</v>
      </c>
      <c r="I40" s="14">
        <v>622</v>
      </c>
      <c r="J40" s="1"/>
      <c r="K40" s="1"/>
      <c r="L40" s="13"/>
      <c r="M40" s="13"/>
      <c r="N40" s="13"/>
      <c r="O40" s="14">
        <v>24600</v>
      </c>
      <c r="P40" s="13"/>
    </row>
    <row r="41" spans="2:29" x14ac:dyDescent="0.3">
      <c r="B41" t="s">
        <v>67</v>
      </c>
      <c r="C41" s="5">
        <v>-980</v>
      </c>
      <c r="D41" s="5">
        <v>14087</v>
      </c>
      <c r="E41" s="5">
        <v>19559</v>
      </c>
      <c r="F41" s="14">
        <f>O41-E41-D41-C41</f>
        <v>-47371</v>
      </c>
      <c r="G41" s="5">
        <v>-3599</v>
      </c>
      <c r="H41" s="5">
        <v>3706</v>
      </c>
      <c r="I41" s="5">
        <v>14249</v>
      </c>
      <c r="O41" s="14">
        <v>-14705</v>
      </c>
    </row>
    <row r="42" spans="2:29" x14ac:dyDescent="0.3">
      <c r="B42" t="s">
        <v>69</v>
      </c>
      <c r="C42" s="5">
        <f t="shared" ref="C42:I42" si="36">SUM(C37:C41)</f>
        <v>-110373</v>
      </c>
      <c r="D42" s="5">
        <f t="shared" si="36"/>
        <v>-112228</v>
      </c>
      <c r="E42" s="5">
        <f t="shared" si="36"/>
        <v>-131845</v>
      </c>
      <c r="F42" s="5">
        <f t="shared" si="36"/>
        <v>242708</v>
      </c>
      <c r="G42" s="5">
        <f t="shared" si="36"/>
        <v>-104314</v>
      </c>
      <c r="H42" s="5">
        <f t="shared" si="36"/>
        <v>-104521</v>
      </c>
      <c r="I42" s="5">
        <f t="shared" si="36"/>
        <v>-153233</v>
      </c>
      <c r="L42" s="5">
        <v>-199453</v>
      </c>
      <c r="M42" s="5">
        <v>-220567</v>
      </c>
      <c r="N42" s="5">
        <v>182080</v>
      </c>
      <c r="O42" s="5">
        <f>SUM(O37:O41)</f>
        <v>-111738</v>
      </c>
      <c r="P42" s="5">
        <f>P36-P43</f>
        <v>-550000</v>
      </c>
    </row>
    <row r="43" spans="2:29" x14ac:dyDescent="0.3">
      <c r="B43" s="1" t="s">
        <v>35</v>
      </c>
      <c r="C43" s="13">
        <f t="shared" ref="C43:I43" si="37">C36-C42</f>
        <v>850984</v>
      </c>
      <c r="D43" s="13">
        <f t="shared" si="37"/>
        <v>770835</v>
      </c>
      <c r="E43" s="13">
        <f t="shared" si="37"/>
        <v>771942</v>
      </c>
      <c r="F43" s="13">
        <f t="shared" si="37"/>
        <v>160846</v>
      </c>
      <c r="G43" s="13">
        <f t="shared" si="37"/>
        <v>118234</v>
      </c>
      <c r="H43" s="13">
        <f t="shared" si="37"/>
        <v>610582</v>
      </c>
      <c r="I43" s="13">
        <f t="shared" si="37"/>
        <v>1141173</v>
      </c>
      <c r="J43" s="1"/>
      <c r="K43" s="1"/>
      <c r="L43" s="13">
        <f>L36-L42</f>
        <v>2193825</v>
      </c>
      <c r="M43" s="13">
        <f>M36-M42</f>
        <v>2620429</v>
      </c>
      <c r="N43" s="13">
        <f>N36-N42</f>
        <v>2285465</v>
      </c>
      <c r="O43" s="13">
        <f>O36-O42</f>
        <v>2554607</v>
      </c>
      <c r="P43" s="13">
        <v>2550000</v>
      </c>
    </row>
    <row r="44" spans="2:29" x14ac:dyDescent="0.3">
      <c r="B44" t="s">
        <v>36</v>
      </c>
      <c r="C44" s="5">
        <v>219603</v>
      </c>
      <c r="D44" s="5">
        <v>218224</v>
      </c>
      <c r="E44" s="5">
        <v>185748</v>
      </c>
      <c r="F44" s="14">
        <f>O44-E44-D44-C44</f>
        <v>59855</v>
      </c>
      <c r="G44" s="5">
        <v>-31214</v>
      </c>
      <c r="H44" s="5">
        <v>128841</v>
      </c>
      <c r="I44" s="5">
        <v>273666</v>
      </c>
      <c r="L44" s="5">
        <v>628900</v>
      </c>
      <c r="M44" s="5">
        <v>504406</v>
      </c>
      <c r="N44" s="5">
        <v>659944</v>
      </c>
      <c r="O44" s="5">
        <v>683430</v>
      </c>
      <c r="P44" s="5">
        <f>P43*0.25</f>
        <v>637500</v>
      </c>
    </row>
    <row r="45" spans="2:29" x14ac:dyDescent="0.3">
      <c r="B45" s="12" t="s">
        <v>37</v>
      </c>
      <c r="C45" s="5">
        <v>12252</v>
      </c>
      <c r="D45" s="5">
        <v>22201</v>
      </c>
      <c r="E45" s="5">
        <v>26894</v>
      </c>
      <c r="F45" s="14">
        <f>O45-E45-D45-C45</f>
        <v>-266353</v>
      </c>
      <c r="G45" s="5">
        <v>-9396</v>
      </c>
      <c r="H45" s="5">
        <v>11216</v>
      </c>
      <c r="I45" s="5">
        <v>28812</v>
      </c>
      <c r="J45" s="12"/>
      <c r="K45" s="12"/>
      <c r="L45" s="5">
        <f>-362060+95876</f>
        <v>-266184</v>
      </c>
      <c r="M45" s="5">
        <f>-470083+92123</f>
        <v>-377960</v>
      </c>
      <c r="N45" s="5">
        <f>-360066+102714</f>
        <v>-257352</v>
      </c>
      <c r="O45" s="5">
        <f>-271152+66146</f>
        <v>-205006</v>
      </c>
      <c r="P45" s="5">
        <f>P43-P44-P46</f>
        <v>12500</v>
      </c>
    </row>
    <row r="46" spans="2:29" x14ac:dyDescent="0.3">
      <c r="B46" s="1" t="s">
        <v>38</v>
      </c>
      <c r="C46" s="13">
        <f t="shared" ref="C46:I46" si="38">C43-C44-C45</f>
        <v>619129</v>
      </c>
      <c r="D46" s="13">
        <f t="shared" si="38"/>
        <v>530410</v>
      </c>
      <c r="E46" s="13">
        <f t="shared" si="38"/>
        <v>559300</v>
      </c>
      <c r="F46" s="13">
        <f t="shared" si="38"/>
        <v>367344</v>
      </c>
      <c r="G46" s="13">
        <f t="shared" si="38"/>
        <v>158844</v>
      </c>
      <c r="H46" s="13">
        <f t="shared" si="38"/>
        <v>470525</v>
      </c>
      <c r="I46" s="13">
        <f t="shared" si="38"/>
        <v>838695</v>
      </c>
      <c r="J46" s="1"/>
      <c r="K46" s="1"/>
      <c r="L46" s="13">
        <f>L43-L44-L45</f>
        <v>1831109</v>
      </c>
      <c r="M46" s="13">
        <f>M43-M44-M45</f>
        <v>2493983</v>
      </c>
      <c r="N46" s="13">
        <f>N43-N44-N45</f>
        <v>1882873</v>
      </c>
      <c r="O46" s="13">
        <f>O43-O44-O45</f>
        <v>2076183</v>
      </c>
      <c r="P46" s="13">
        <v>1900000</v>
      </c>
    </row>
    <row r="47" spans="2:29" x14ac:dyDescent="0.3">
      <c r="B47" s="12" t="s">
        <v>1</v>
      </c>
      <c r="C47" s="5">
        <v>2947</v>
      </c>
      <c r="D47" s="5">
        <v>2947</v>
      </c>
      <c r="E47" s="5">
        <v>2947</v>
      </c>
      <c r="F47" s="5">
        <v>2947</v>
      </c>
      <c r="G47" s="5">
        <v>2947</v>
      </c>
      <c r="H47" s="5">
        <v>2947</v>
      </c>
      <c r="I47" s="5">
        <v>3263</v>
      </c>
      <c r="J47" s="12"/>
      <c r="K47" s="12"/>
      <c r="L47" s="5">
        <v>2947</v>
      </c>
      <c r="M47" s="5">
        <v>2947</v>
      </c>
      <c r="N47" s="5">
        <v>2871</v>
      </c>
      <c r="O47" s="5">
        <v>2831</v>
      </c>
      <c r="P47" s="5">
        <v>2793</v>
      </c>
    </row>
    <row r="48" spans="2:29" x14ac:dyDescent="0.3">
      <c r="B48" s="1" t="s">
        <v>39</v>
      </c>
      <c r="C48" s="22">
        <f t="shared" ref="C48:I48" si="39">C46/C47</f>
        <v>210.08788598574822</v>
      </c>
      <c r="D48" s="22">
        <f t="shared" si="39"/>
        <v>179.98303359348489</v>
      </c>
      <c r="E48" s="22">
        <f t="shared" si="39"/>
        <v>189.78622327790973</v>
      </c>
      <c r="F48" s="22">
        <f t="shared" si="39"/>
        <v>124.65015269765864</v>
      </c>
      <c r="G48" s="22">
        <f t="shared" si="39"/>
        <v>53.900237529691211</v>
      </c>
      <c r="H48" s="22">
        <f t="shared" si="39"/>
        <v>159.66236851034949</v>
      </c>
      <c r="I48" s="22">
        <f t="shared" si="39"/>
        <v>257.03187250996018</v>
      </c>
      <c r="J48" s="22"/>
      <c r="K48" s="22"/>
      <c r="L48" s="22">
        <f>L46/L47</f>
        <v>621.34679334916859</v>
      </c>
      <c r="M48" s="22">
        <f>M46/M47</f>
        <v>846.27858839497799</v>
      </c>
      <c r="N48" s="22">
        <f>N46/N47</f>
        <v>655.8247997213515</v>
      </c>
      <c r="O48" s="22">
        <f>O46/O47</f>
        <v>733.37442599788062</v>
      </c>
      <c r="P48" s="22">
        <f>P46/P47</f>
        <v>680.27210884353747</v>
      </c>
    </row>
  </sheetData>
  <phoneticPr fontId="3" type="noConversion"/>
  <pageMargins left="0.7" right="0.7" top="0.75" bottom="0.75" header="0.3" footer="0.3"/>
  <pageSetup paperSize="9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F85C-41C4-4787-AC98-1C6AF9AB8DA5}">
  <sheetPr codeName="Sheet3"/>
  <dimension ref="A1:K2"/>
  <sheetViews>
    <sheetView topLeftCell="C1" workbookViewId="0">
      <selection activeCell="C2" sqref="C2"/>
    </sheetView>
  </sheetViews>
  <sheetFormatPr defaultRowHeight="14.4" x14ac:dyDescent="0.3"/>
  <cols>
    <col min="1" max="1" width="22.77734375" bestFit="1" customWidth="1"/>
    <col min="2" max="2" width="31.44140625" bestFit="1" customWidth="1"/>
    <col min="3" max="3" width="36.5546875" bestFit="1" customWidth="1"/>
    <col min="4" max="4" width="15.6640625" bestFit="1" customWidth="1"/>
    <col min="5" max="5" width="14.6640625" bestFit="1" customWidth="1"/>
    <col min="6" max="6" width="12.109375" bestFit="1" customWidth="1"/>
    <col min="7" max="7" width="15.88671875" bestFit="1" customWidth="1"/>
    <col min="8" max="8" width="13.21875" bestFit="1" customWidth="1"/>
    <col min="9" max="9" width="15" bestFit="1" customWidth="1"/>
    <col min="10" max="10" width="13" bestFit="1" customWidth="1"/>
    <col min="11" max="11" width="34.5546875" bestFit="1" customWidth="1"/>
  </cols>
  <sheetData>
    <row r="1" spans="1:11" x14ac:dyDescent="0.3">
      <c r="A1" s="8" t="s">
        <v>9</v>
      </c>
      <c r="B1" s="8" t="s">
        <v>10</v>
      </c>
      <c r="C1" s="8" t="s">
        <v>11</v>
      </c>
      <c r="D1" s="8" t="s">
        <v>13</v>
      </c>
      <c r="E1" s="8" t="s">
        <v>12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</row>
    <row r="2" spans="1:11" x14ac:dyDescent="0.3">
      <c r="A2" s="10" t="s">
        <v>61</v>
      </c>
      <c r="B2" s="8" t="s">
        <v>22</v>
      </c>
      <c r="C2" s="8" t="s">
        <v>62</v>
      </c>
      <c r="D2" s="9">
        <v>44256.125011574077</v>
      </c>
      <c r="E2" s="8" t="s">
        <v>14</v>
      </c>
      <c r="F2" s="8" t="s">
        <v>21</v>
      </c>
      <c r="G2" s="8" t="s">
        <v>23</v>
      </c>
      <c r="H2" s="8" t="s">
        <v>24</v>
      </c>
      <c r="I2" s="8">
        <v>106.31855806</v>
      </c>
      <c r="J2" s="8">
        <v>9.4056999999999995E-3</v>
      </c>
      <c r="K2" s="8" t="s">
        <v>63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7 b 7 b b b - 5 e d 6 - 4 5 7 2 - 9 e 6 0 - e b 3 a 3 0 7 3 9 9 7 7 "   x m l n s = " h t t p : / / s c h e m a s . m i c r o s o f t . c o m / D a t a M a s h u p " > A A A A A C c E A A B Q S w M E F A A C A A g A B H d h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A E d 2 F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H d h U v j l u / Q r A Q A A Y w I A A B M A H A B G b 3 J t d W x h c y 9 T Z W N 0 a W 9 u M S 5 t I K I Y A C i g F A A A A A A A A A A A A A A A A A A A A A A A A A A A A I W R S 0 + E M B S F 9 y T 8 h 6 Z u I C H g u H T i i t m Z u G B I N D E u C t w Z q n 2 Q 9 i I Q M v / d A r 4 i j n b T 5 n y 9 5 5 7 e W i i R a 0 X 2 y 7 7 Z + p 7 v 2 Z o Z q E h r q + d m I D d E A P o e c W u v W 1 O C U x 6 k i H N W C L D B P R R x q h W C Q h v Q G r G 5 T p K u 6 + K D 0 A w N Q 7 B x q W V S M S 6 G x H n G v R Q 0 D K P F k i N I Z 7 g 4 j 5 e n x 0 l 4 e o c X N K 2 Z O r o s + d A A d f f m p n F u m L I H b W S q R S v V B G 0 w F U b j S J G j A B o R d C p B 6 P E U k Z E K r l 5 W Y g W 2 N L y Z X r 5 i T V v s X P g P v X J n 5 B J m V j A L a W s M q H J Y F U 7 w j s l 1 B G T m C H i 2 b s G / V k J f z n P I v g V S r S z A z J i r V z D 2 H 7 o 7 8 9 Z T + D n s W 2 i Q Z F M j o g 8 k 0 5 3 9 G v k s B z 8 + J L q K N q H v c f W H w / Y N U E s B A i 0 A F A A C A A g A B H d h U l 5 M 5 3 m j A A A A 9 Q A A A B I A A A A A A A A A A A A A A A A A A A A A A E N v b m Z p Z y 9 Q Y W N r Y W d l L n h t b F B L A Q I t A B Q A A g A I A A R 3 Y V J T c j g s m w A A A O E A A A A T A A A A A A A A A A A A A A A A A O 8 A A A B b Q 2 9 u d G V u d F 9 U e X B l c 1 0 u e G 1 s U E s B A i 0 A F A A C A A g A B H d h U v j l u / Q r A Q A A Y w I A A B M A A A A A A A A A A A A A A A A A 1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8 A A A A A A A B 3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X N k a n B 5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d G l 0 b G U m c X V v d D s s J n F 1 b 3 Q 7 b G l u a y Z x d W 9 0 O y w m c X V v d D t k Z X N j c m l w d G l v b i Z x d W 9 0 O y w m c X V v d D t w d W J E Y X R l J n F 1 b 3 Q 7 L C Z x d W 9 0 O 2 J h c 2 V D d X J y Z W 5 j e S Z x d W 9 0 O y w m c X V v d D t i Y X N l T m F t Z S Z x d W 9 0 O y w m c X V v d D t 0 Y X J n Z X R D d X J y Z W 5 j e S Z x d W 9 0 O y w m c X V v d D t 0 Y X J n Z X R O Y W 1 l J n F 1 b 3 Q 7 L C Z x d W 9 0 O 2 V 4 Y 2 h h b m d l U m F 0 Z S Z x d W 9 0 O y w m c X V v d D t p b n Z l c n N l U m F 0 Z S Z x d W 9 0 O y w m c X V v d D t p b n Z l c n N l R G V z Y 3 J p c H R p b 2 4 m c X V v d D t d I i A v P j x F b n R y e S B U e X B l P S J G a W x s R W 5 h Y m x l Z C I g V m F s d W U 9 I m w x I i A v P j x F b n R y e S B U e X B l P S J G a W x s Q 2 9 s d W 1 u V H l w Z X M i I F Z h b H V l P S J z Q m d Z R 0 J 3 W U d C Z 1 l G Q l F Z P S I g L z 4 8 R W 5 0 c n k g V H l w Z T 0 i R m l s b E x h c 3 R V c G R h d G V k I i B W Y W x 1 Z T 0 i Z D I w M j E t M D M t M D F U M T E 6 N T Y 6 M D k u N D k z N T M 1 M F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O D E z Z j U y Z S 0 1 M G Q 3 L T Q 5 O T k t O G F j M C 1 m Z j M 4 Z j E 0 N j l k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z I i A v P j x F b n R y e S B U e X B l P S J G a W x s Q 2 9 1 b n Q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d X N k a n B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k a n B 5 L 0 N o Y W 5 n Z W Q g V H l w Z S 5 7 d G l 0 b G U s M H 0 m c X V v d D s s J n F 1 b 3 Q 7 U 2 V j d G l v b j E v d X N k a n B 5 L 0 N o Y W 5 n Z W Q g V H l w Z S 5 7 b G l u a y w x f S Z x d W 9 0 O y w m c X V v d D t T Z W N 0 a W 9 u M S 9 1 c 2 R q c H k v Q 2 h h b m d l Z C B U e X B l L n t k Z X N j c m l w d G l v b i w y f S Z x d W 9 0 O y w m c X V v d D t T Z W N 0 a W 9 u M S 9 1 c 2 R q c H k v Q 2 h h b m d l Z C B U e X B l L n t w d W J E Y X R l L D N 9 J n F 1 b 3 Q 7 L C Z x d W 9 0 O 1 N l Y 3 R p b 2 4 x L 3 V z Z G p w e S 9 D a G F u Z 2 V k I F R 5 c G U u e 2 J h c 2 V D d X J y Z W 5 j e S w 0 f S Z x d W 9 0 O y w m c X V v d D t T Z W N 0 a W 9 u M S 9 1 c 2 R q c H k v Q 2 h h b m d l Z C B U e X B l L n t i Y X N l T m F t Z S w 1 f S Z x d W 9 0 O y w m c X V v d D t T Z W N 0 a W 9 u M S 9 1 c 2 R q c H k v Q 2 h h b m d l Z C B U e X B l L n t 0 Y X J n Z X R D d X J y Z W 5 j e S w 2 f S Z x d W 9 0 O y w m c X V v d D t T Z W N 0 a W 9 u M S 9 1 c 2 R q c H k v Q 2 h h b m d l Z C B U e X B l L n t 0 Y X J n Z X R O Y W 1 l L D d 9 J n F 1 b 3 Q 7 L C Z x d W 9 0 O 1 N l Y 3 R p b 2 4 x L 3 V z Z G p w e S 9 D a G F u Z 2 V k I F R 5 c G U u e 2 V 4 Y 2 h h b m d l U m F 0 Z S w 4 f S Z x d W 9 0 O y w m c X V v d D t T Z W N 0 a W 9 u M S 9 1 c 2 R q c H k v Q 2 h h b m d l Z C B U e X B l L n t p b n Z l c n N l U m F 0 Z S w 5 f S Z x d W 9 0 O y w m c X V v d D t T Z W N 0 a W 9 u M S 9 1 c 2 R q c H k v Q 2 h h b m d l Z C B U e X B l L n t p b n Z l c n N l R G V z Y 3 J p c H R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1 c 2 R q c H k v Q 2 h h b m d l Z C B U e X B l L n t 0 a X R s Z S w w f S Z x d W 9 0 O y w m c X V v d D t T Z W N 0 a W 9 u M S 9 1 c 2 R q c H k v Q 2 h h b m d l Z C B U e X B l L n t s a W 5 r L D F 9 J n F 1 b 3 Q 7 L C Z x d W 9 0 O 1 N l Y 3 R p b 2 4 x L 3 V z Z G p w e S 9 D a G F u Z 2 V k I F R 5 c G U u e 2 R l c 2 N y a X B 0 a W 9 u L D J 9 J n F 1 b 3 Q 7 L C Z x d W 9 0 O 1 N l Y 3 R p b 2 4 x L 3 V z Z G p w e S 9 D a G F u Z 2 V k I F R 5 c G U u e 3 B 1 Y k R h d G U s M 3 0 m c X V v d D s s J n F 1 b 3 Q 7 U 2 V j d G l v b j E v d X N k a n B 5 L 0 N o Y W 5 n Z W Q g V H l w Z S 5 7 Y m F z Z U N 1 c n J l b m N 5 L D R 9 J n F 1 b 3 Q 7 L C Z x d W 9 0 O 1 N l Y 3 R p b 2 4 x L 3 V z Z G p w e S 9 D a G F u Z 2 V k I F R 5 c G U u e 2 J h c 2 V O Y W 1 l L D V 9 J n F 1 b 3 Q 7 L C Z x d W 9 0 O 1 N l Y 3 R p b 2 4 x L 3 V z Z G p w e S 9 D a G F u Z 2 V k I F R 5 c G U u e 3 R h c m d l d E N 1 c n J l b m N 5 L D Z 9 J n F 1 b 3 Q 7 L C Z x d W 9 0 O 1 N l Y 3 R p b 2 4 x L 3 V z Z G p w e S 9 D a G F u Z 2 V k I F R 5 c G U u e 3 R h c m d l d E 5 h b W U s N 3 0 m c X V v d D s s J n F 1 b 3 Q 7 U 2 V j d G l v b j E v d X N k a n B 5 L 0 N o Y W 5 n Z W Q g V H l w Z S 5 7 Z X h j a G F u Z 2 V S Y X R l L D h 9 J n F 1 b 3 Q 7 L C Z x d W 9 0 O 1 N l Y 3 R p b 2 4 x L 3 V z Z G p w e S 9 D a G F u Z 2 V k I F R 5 c G U u e 2 l u d m V y c 2 V S Y X R l L D l 9 J n F 1 b 3 Q 7 L C Z x d W 9 0 O 1 N l Y 3 R p b 2 4 x L 3 V z Z G p w e S 9 D a G F u Z 2 V k I F R 5 c G U u e 2 l u d m V y c 2 V E Z X N j c m l w d G l v b i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N k a n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G p w e S 9 p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k a n B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k a n B 5 L 0 t l c H Q l M j B S Y W 5 n Z S U y M G 9 m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b b E a K h 7 N S Y 7 j G H X v O E k 1 A A A A A A I A A A A A A B B m A A A A A Q A A I A A A A G L g Z 7 K Z g w a I p 2 7 o j V U 8 1 P r 7 O 8 I u l W j 4 l I c p o Q h v v h U T A A A A A A 6 A A A A A A g A A I A A A A F f z v p d 8 j Q W D G i o E e 1 8 5 S K x + z V X h e C k h e r r r k 0 m r w C W 1 U A A A A H f R p L Q M x g W w / V 4 a 2 F 8 b A p P s u J W h b S A f s 2 a g o f M 3 g 5 e 9 L M c Q 6 m n 4 q 0 s 0 N f 5 c q O v K E e 6 S 2 9 2 t v I h Y T m x p j / h D I 3 N g d p l s 1 U 3 S m m d u g i w + z c p 3 Q A A A A C i f t L p K b X 9 p s h i c u + X C Q i 9 w e r c E D J w i K F e g O F o F W t A e b X q B l 1 6 a u G P s 1 l a o k f + 0 y Q j B L 1 9 r 2 t 0 D H d C 2 d n T R n K Y = < / D a t a M a s h u p > 
</file>

<file path=customXml/itemProps1.xml><?xml version="1.0" encoding="utf-8"?>
<ds:datastoreItem xmlns:ds="http://schemas.openxmlformats.org/officeDocument/2006/customXml" ds:itemID="{9B0FABA8-AC58-466B-BA35-42F534F57A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cp:lastPrinted>2020-09-09T10:06:06Z</cp:lastPrinted>
  <dcterms:created xsi:type="dcterms:W3CDTF">2020-09-07T15:14:28Z</dcterms:created>
  <dcterms:modified xsi:type="dcterms:W3CDTF">2021-03-01T22:17:33Z</dcterms:modified>
</cp:coreProperties>
</file>