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os\Desktop\Financial Analysis\"/>
    </mc:Choice>
  </mc:AlternateContent>
  <xr:revisionPtr revIDLastSave="0" documentId="13_ncr:1_{43C62A94-EC88-4F9E-B6DF-49A0CE7D9E77}" xr6:coauthVersionLast="47" xr6:coauthVersionMax="47" xr10:uidLastSave="{00000000-0000-0000-0000-000000000000}"/>
  <bookViews>
    <workbookView xWindow="-108" yWindow="-108" windowWidth="23256" windowHeight="12576" activeTab="1" xr2:uid="{600266B9-4846-4C23-836F-4C3122316A91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30" i="2" l="1"/>
  <c r="AB27" i="2"/>
  <c r="AB26" i="2"/>
  <c r="AB28" i="2" s="1"/>
  <c r="AB29" i="2" s="1"/>
  <c r="AB31" i="2" s="1"/>
  <c r="Z19" i="2"/>
  <c r="AA19" i="2" s="1"/>
  <c r="AB19" i="2" s="1"/>
  <c r="AC19" i="2" s="1"/>
  <c r="AD19" i="2" s="1"/>
  <c r="AE19" i="2" s="1"/>
  <c r="AF19" i="2" s="1"/>
  <c r="AG19" i="2" s="1"/>
  <c r="AH19" i="2" s="1"/>
  <c r="AI19" i="2" s="1"/>
  <c r="AJ19" i="2" s="1"/>
  <c r="AK19" i="2" s="1"/>
  <c r="AL19" i="2" s="1"/>
  <c r="AM19" i="2" s="1"/>
  <c r="AN19" i="2" s="1"/>
  <c r="AO19" i="2" s="1"/>
  <c r="AP19" i="2" s="1"/>
  <c r="AQ19" i="2" s="1"/>
  <c r="AR19" i="2" s="1"/>
  <c r="AS19" i="2" s="1"/>
  <c r="AT19" i="2" s="1"/>
  <c r="AU19" i="2" s="1"/>
  <c r="AV19" i="2" s="1"/>
  <c r="AW19" i="2" s="1"/>
  <c r="AX19" i="2" s="1"/>
  <c r="AY19" i="2" s="1"/>
  <c r="AZ19" i="2" s="1"/>
  <c r="BA19" i="2" s="1"/>
  <c r="BB19" i="2" s="1"/>
  <c r="BC19" i="2" s="1"/>
  <c r="BD19" i="2" s="1"/>
  <c r="BE19" i="2" s="1"/>
  <c r="BF19" i="2" s="1"/>
  <c r="BG19" i="2" s="1"/>
  <c r="BH19" i="2" s="1"/>
  <c r="BI19" i="2" s="1"/>
  <c r="BJ19" i="2" s="1"/>
  <c r="BK19" i="2" s="1"/>
  <c r="BL19" i="2" s="1"/>
  <c r="BM19" i="2" s="1"/>
  <c r="BN19" i="2" s="1"/>
  <c r="BO19" i="2" s="1"/>
  <c r="BP19" i="2" s="1"/>
  <c r="BQ19" i="2" s="1"/>
  <c r="BR19" i="2" s="1"/>
  <c r="BS19" i="2" s="1"/>
  <c r="BT19" i="2" s="1"/>
  <c r="BU19" i="2" s="1"/>
  <c r="BV19" i="2" s="1"/>
  <c r="BW19" i="2" s="1"/>
  <c r="BX19" i="2" s="1"/>
  <c r="BY19" i="2" s="1"/>
  <c r="BZ19" i="2" s="1"/>
  <c r="CA19" i="2" s="1"/>
  <c r="CB19" i="2" s="1"/>
  <c r="CC19" i="2" s="1"/>
  <c r="CD19" i="2" s="1"/>
  <c r="CE19" i="2" s="1"/>
  <c r="CF19" i="2" s="1"/>
  <c r="CG19" i="2" s="1"/>
  <c r="CH19" i="2" s="1"/>
  <c r="CI19" i="2" s="1"/>
  <c r="CJ19" i="2" s="1"/>
  <c r="CK19" i="2" s="1"/>
  <c r="CL19" i="2" s="1"/>
  <c r="CM19" i="2" s="1"/>
  <c r="CN19" i="2" s="1"/>
  <c r="CO19" i="2" s="1"/>
  <c r="CP19" i="2" s="1"/>
  <c r="CQ19" i="2" s="1"/>
  <c r="CR19" i="2" s="1"/>
  <c r="CS19" i="2" s="1"/>
  <c r="CT19" i="2" s="1"/>
  <c r="CU19" i="2" s="1"/>
  <c r="CV19" i="2" s="1"/>
  <c r="CW19" i="2" s="1"/>
  <c r="CX19" i="2" s="1"/>
  <c r="CY19" i="2" s="1"/>
  <c r="CZ19" i="2" s="1"/>
  <c r="DA19" i="2" s="1"/>
  <c r="DB19" i="2" s="1"/>
  <c r="DC19" i="2" s="1"/>
  <c r="DD19" i="2" s="1"/>
  <c r="DE19" i="2" s="1"/>
  <c r="DF19" i="2" s="1"/>
  <c r="DG19" i="2" s="1"/>
  <c r="DH19" i="2" s="1"/>
  <c r="DI19" i="2" s="1"/>
  <c r="DJ19" i="2" s="1"/>
  <c r="DK19" i="2" s="1"/>
  <c r="DL19" i="2" s="1"/>
  <c r="DM19" i="2" s="1"/>
  <c r="DN19" i="2" s="1"/>
  <c r="DO19" i="2" s="1"/>
  <c r="DP19" i="2" s="1"/>
  <c r="DQ19" i="2" s="1"/>
  <c r="DR19" i="2" s="1"/>
  <c r="DS19" i="2" s="1"/>
  <c r="DT19" i="2" s="1"/>
  <c r="DU19" i="2" s="1"/>
  <c r="DV19" i="2" s="1"/>
  <c r="DW19" i="2" s="1"/>
  <c r="DX19" i="2" s="1"/>
  <c r="DY19" i="2" s="1"/>
  <c r="DZ19" i="2" s="1"/>
  <c r="EA19" i="2" s="1"/>
  <c r="EB19" i="2" s="1"/>
  <c r="EC19" i="2" s="1"/>
  <c r="ED19" i="2" s="1"/>
  <c r="EE19" i="2" s="1"/>
  <c r="EF19" i="2" s="1"/>
  <c r="EG19" i="2" s="1"/>
  <c r="EH19" i="2" s="1"/>
  <c r="EI19" i="2" s="1"/>
  <c r="EJ19" i="2" s="1"/>
  <c r="Y19" i="2"/>
  <c r="X29" i="2"/>
  <c r="W29" i="2"/>
  <c r="V29" i="2"/>
  <c r="U29" i="2"/>
  <c r="T29" i="2"/>
  <c r="S29" i="2"/>
  <c r="R29" i="2"/>
  <c r="Q29" i="2"/>
  <c r="P29" i="2"/>
  <c r="O29" i="2"/>
  <c r="N29" i="2"/>
  <c r="X28" i="2"/>
  <c r="W28" i="2"/>
  <c r="V28" i="2"/>
  <c r="U28" i="2"/>
  <c r="T28" i="2"/>
  <c r="S28" i="2"/>
  <c r="R28" i="2"/>
  <c r="Q28" i="2"/>
  <c r="P28" i="2"/>
  <c r="O28" i="2"/>
  <c r="N28" i="2"/>
  <c r="X27" i="2"/>
  <c r="W27" i="2"/>
  <c r="V27" i="2"/>
  <c r="U27" i="2"/>
  <c r="T27" i="2"/>
  <c r="S27" i="2"/>
  <c r="R27" i="2"/>
  <c r="Q27" i="2"/>
  <c r="P27" i="2"/>
  <c r="O27" i="2"/>
  <c r="N27" i="2"/>
  <c r="X26" i="2"/>
  <c r="W26" i="2"/>
  <c r="V26" i="2"/>
  <c r="U26" i="2"/>
  <c r="T26" i="2"/>
  <c r="S26" i="2"/>
  <c r="R26" i="2"/>
  <c r="Q26" i="2"/>
  <c r="P26" i="2"/>
  <c r="O26" i="2"/>
  <c r="N26" i="2"/>
  <c r="X25" i="2"/>
  <c r="W25" i="2"/>
  <c r="V25" i="2"/>
  <c r="U25" i="2"/>
  <c r="T25" i="2"/>
  <c r="S25" i="2"/>
  <c r="R25" i="2"/>
  <c r="Q25" i="2"/>
  <c r="P25" i="2"/>
  <c r="O25" i="2"/>
  <c r="N25" i="2"/>
  <c r="X24" i="2"/>
  <c r="W24" i="2"/>
  <c r="V24" i="2"/>
  <c r="U24" i="2"/>
  <c r="T24" i="2"/>
  <c r="S24" i="2"/>
  <c r="R24" i="2"/>
  <c r="Q24" i="2"/>
  <c r="P24" i="2"/>
  <c r="O24" i="2"/>
  <c r="N24" i="2"/>
  <c r="X23" i="2"/>
  <c r="W23" i="2"/>
  <c r="V23" i="2"/>
  <c r="U23" i="2"/>
  <c r="T23" i="2"/>
  <c r="S23" i="2"/>
  <c r="R23" i="2"/>
  <c r="Q23" i="2"/>
  <c r="P23" i="2"/>
  <c r="O23" i="2"/>
  <c r="N23" i="2"/>
  <c r="N19" i="2"/>
  <c r="N21" i="2" s="1"/>
  <c r="N17" i="2"/>
  <c r="Q14" i="2"/>
  <c r="R14" i="2" s="1"/>
  <c r="S14" i="2" s="1"/>
  <c r="T14" i="2" s="1"/>
  <c r="U14" i="2" s="1"/>
  <c r="V14" i="2" s="1"/>
  <c r="W14" i="2" s="1"/>
  <c r="X14" i="2" s="1"/>
  <c r="P14" i="2"/>
  <c r="O14" i="2"/>
  <c r="N14" i="2"/>
  <c r="O12" i="2"/>
  <c r="P12" i="2" s="1"/>
  <c r="Q12" i="2" s="1"/>
  <c r="R12" i="2" s="1"/>
  <c r="S12" i="2" s="1"/>
  <c r="T12" i="2" s="1"/>
  <c r="U12" i="2" s="1"/>
  <c r="V12" i="2" s="1"/>
  <c r="W12" i="2" s="1"/>
  <c r="X12" i="2" s="1"/>
  <c r="N12" i="2"/>
  <c r="X11" i="2"/>
  <c r="W11" i="2"/>
  <c r="V11" i="2"/>
  <c r="U11" i="2"/>
  <c r="T11" i="2"/>
  <c r="S11" i="2"/>
  <c r="R11" i="2"/>
  <c r="Q11" i="2"/>
  <c r="P11" i="2"/>
  <c r="O11" i="2"/>
  <c r="N11" i="2"/>
  <c r="O10" i="2"/>
  <c r="P10" i="2" s="1"/>
  <c r="Q10" i="2" s="1"/>
  <c r="R10" i="2" s="1"/>
  <c r="S10" i="2" s="1"/>
  <c r="T10" i="2" s="1"/>
  <c r="U10" i="2" s="1"/>
  <c r="V10" i="2" s="1"/>
  <c r="W10" i="2" s="1"/>
  <c r="X10" i="2" s="1"/>
  <c r="N10" i="2"/>
  <c r="O7" i="2"/>
  <c r="P7" i="2" s="1"/>
  <c r="Q7" i="2" s="1"/>
  <c r="X6" i="2"/>
  <c r="W6" i="2"/>
  <c r="V6" i="2"/>
  <c r="U6" i="2"/>
  <c r="T6" i="2"/>
  <c r="S6" i="2"/>
  <c r="R6" i="2"/>
  <c r="Q6" i="2"/>
  <c r="P6" i="2"/>
  <c r="O6" i="2"/>
  <c r="O8" i="2" s="1"/>
  <c r="X5" i="2"/>
  <c r="W5" i="2"/>
  <c r="V5" i="2"/>
  <c r="U5" i="2"/>
  <c r="T5" i="2"/>
  <c r="S5" i="2"/>
  <c r="R5" i="2"/>
  <c r="Q5" i="2"/>
  <c r="P5" i="2"/>
  <c r="O5" i="2"/>
  <c r="N9" i="2"/>
  <c r="N8" i="2"/>
  <c r="N5" i="2"/>
  <c r="O4" i="2"/>
  <c r="P4" i="2" s="1"/>
  <c r="Q4" i="2" s="1"/>
  <c r="R4" i="2" s="1"/>
  <c r="S4" i="2" s="1"/>
  <c r="T4" i="2" s="1"/>
  <c r="U4" i="2" s="1"/>
  <c r="V4" i="2" s="1"/>
  <c r="W4" i="2" s="1"/>
  <c r="X4" i="2" s="1"/>
  <c r="N4" i="2"/>
  <c r="N7" i="2"/>
  <c r="N6" i="2"/>
  <c r="Q3" i="2"/>
  <c r="R3" i="2" s="1"/>
  <c r="S3" i="2" s="1"/>
  <c r="T3" i="2" s="1"/>
  <c r="U3" i="2" s="1"/>
  <c r="V3" i="2" s="1"/>
  <c r="W3" i="2" s="1"/>
  <c r="X3" i="2" s="1"/>
  <c r="P3" i="2"/>
  <c r="O3" i="2"/>
  <c r="N3" i="2"/>
  <c r="L29" i="2"/>
  <c r="K29" i="2"/>
  <c r="J29" i="2"/>
  <c r="I29" i="2"/>
  <c r="L28" i="2"/>
  <c r="K28" i="2"/>
  <c r="J28" i="2"/>
  <c r="I28" i="2"/>
  <c r="L27" i="2"/>
  <c r="K27" i="2"/>
  <c r="J27" i="2"/>
  <c r="I27" i="2"/>
  <c r="M27" i="2"/>
  <c r="L26" i="2"/>
  <c r="K26" i="2"/>
  <c r="J26" i="2"/>
  <c r="M26" i="2"/>
  <c r="L25" i="2"/>
  <c r="K25" i="2"/>
  <c r="J25" i="2"/>
  <c r="I25" i="2"/>
  <c r="M25" i="2"/>
  <c r="L24" i="2"/>
  <c r="K24" i="2"/>
  <c r="J24" i="2"/>
  <c r="I24" i="2"/>
  <c r="M24" i="2"/>
  <c r="L23" i="2"/>
  <c r="K23" i="2"/>
  <c r="J23" i="2"/>
  <c r="M23" i="2"/>
  <c r="I15" i="2"/>
  <c r="I8" i="2"/>
  <c r="I5" i="2"/>
  <c r="J15" i="2"/>
  <c r="J8" i="2"/>
  <c r="J5" i="2"/>
  <c r="K18" i="2"/>
  <c r="L18" i="2"/>
  <c r="K8" i="2"/>
  <c r="K15" i="2"/>
  <c r="K5" i="2"/>
  <c r="L7" i="2"/>
  <c r="L8" i="2" s="1"/>
  <c r="L15" i="2"/>
  <c r="L5" i="2"/>
  <c r="M15" i="2"/>
  <c r="M7" i="2"/>
  <c r="M8" i="2" s="1"/>
  <c r="M9" i="2" s="1"/>
  <c r="M11" i="2" s="1"/>
  <c r="M5" i="2"/>
  <c r="D9" i="1"/>
  <c r="D8" i="1"/>
  <c r="D7" i="1"/>
  <c r="D6" i="1"/>
  <c r="D5" i="1"/>
  <c r="F3" i="1"/>
  <c r="O13" i="2" l="1"/>
  <c r="O15" i="2" s="1"/>
  <c r="O16" i="2" s="1"/>
  <c r="R7" i="2"/>
  <c r="Q8" i="2"/>
  <c r="Q9" i="2" s="1"/>
  <c r="P8" i="2"/>
  <c r="P9" i="2" s="1"/>
  <c r="O9" i="2"/>
  <c r="I9" i="2"/>
  <c r="I11" i="2" s="1"/>
  <c r="I16" i="2" s="1"/>
  <c r="I19" i="2" s="1"/>
  <c r="I21" i="2" s="1"/>
  <c r="J9" i="2"/>
  <c r="J11" i="2" s="1"/>
  <c r="J16" i="2" s="1"/>
  <c r="J19" i="2" s="1"/>
  <c r="J21" i="2" s="1"/>
  <c r="K9" i="2"/>
  <c r="K11" i="2" s="1"/>
  <c r="K16" i="2" s="1"/>
  <c r="K19" i="2" s="1"/>
  <c r="K21" i="2" s="1"/>
  <c r="L9" i="2"/>
  <c r="L11" i="2" s="1"/>
  <c r="L16" i="2" s="1"/>
  <c r="L19" i="2" s="1"/>
  <c r="L21" i="2" s="1"/>
  <c r="M16" i="2"/>
  <c r="O17" i="2" l="1"/>
  <c r="O19" i="2" s="1"/>
  <c r="M19" i="2"/>
  <c r="N13" i="2" s="1"/>
  <c r="N15" i="2" s="1"/>
  <c r="N16" i="2" s="1"/>
  <c r="M28" i="2"/>
  <c r="R8" i="2"/>
  <c r="R9" i="2" s="1"/>
  <c r="S7" i="2"/>
  <c r="P13" i="2" l="1"/>
  <c r="P15" i="2" s="1"/>
  <c r="P16" i="2" s="1"/>
  <c r="O21" i="2"/>
  <c r="M21" i="2"/>
  <c r="M29" i="2"/>
  <c r="S8" i="2"/>
  <c r="S9" i="2" s="1"/>
  <c r="T7" i="2"/>
  <c r="P17" i="2" l="1"/>
  <c r="P19" i="2" s="1"/>
  <c r="T8" i="2"/>
  <c r="T9" i="2" s="1"/>
  <c r="U7" i="2"/>
  <c r="P21" i="2" l="1"/>
  <c r="Q13" i="2"/>
  <c r="Q15" i="2" s="1"/>
  <c r="Q16" i="2" s="1"/>
  <c r="V7" i="2"/>
  <c r="U8" i="2"/>
  <c r="U9" i="2" s="1"/>
  <c r="Q17" i="2" l="1"/>
  <c r="Q19" i="2" s="1"/>
  <c r="W7" i="2"/>
  <c r="V8" i="2"/>
  <c r="V9" i="2" s="1"/>
  <c r="R13" i="2" l="1"/>
  <c r="R15" i="2" s="1"/>
  <c r="R16" i="2" s="1"/>
  <c r="Q21" i="2"/>
  <c r="X7" i="2"/>
  <c r="X8" i="2" s="1"/>
  <c r="X9" i="2" s="1"/>
  <c r="W8" i="2"/>
  <c r="W9" i="2" s="1"/>
  <c r="R17" i="2" l="1"/>
  <c r="R19" i="2" s="1"/>
  <c r="S13" i="2" l="1"/>
  <c r="S15" i="2" s="1"/>
  <c r="S16" i="2" s="1"/>
  <c r="R21" i="2"/>
  <c r="S17" i="2" l="1"/>
  <c r="S19" i="2"/>
  <c r="T13" i="2" l="1"/>
  <c r="T15" i="2" s="1"/>
  <c r="T16" i="2" s="1"/>
  <c r="S21" i="2"/>
  <c r="T17" i="2" l="1"/>
  <c r="T19" i="2"/>
  <c r="U13" i="2" l="1"/>
  <c r="U15" i="2" s="1"/>
  <c r="U16" i="2" s="1"/>
  <c r="T21" i="2"/>
  <c r="U17" i="2" l="1"/>
  <c r="U19" i="2" s="1"/>
  <c r="V13" i="2" l="1"/>
  <c r="V15" i="2" s="1"/>
  <c r="V16" i="2" s="1"/>
  <c r="U21" i="2"/>
  <c r="V17" i="2" l="1"/>
  <c r="V19" i="2" s="1"/>
  <c r="W13" i="2" l="1"/>
  <c r="W15" i="2" s="1"/>
  <c r="W16" i="2" s="1"/>
  <c r="V21" i="2"/>
  <c r="W17" i="2" l="1"/>
  <c r="W19" i="2"/>
  <c r="X13" i="2" l="1"/>
  <c r="X15" i="2" s="1"/>
  <c r="X16" i="2" s="1"/>
  <c r="W21" i="2"/>
  <c r="X17" i="2" l="1"/>
  <c r="X19" i="2" s="1"/>
  <c r="X21" i="2" s="1"/>
</calcChain>
</file>

<file path=xl/sharedStrings.xml><?xml version="1.0" encoding="utf-8"?>
<sst xmlns="http://schemas.openxmlformats.org/spreadsheetml/2006/main" count="54" uniqueCount="49">
  <si>
    <t>TSCO</t>
  </si>
  <si>
    <t>Price</t>
  </si>
  <si>
    <t>Shares</t>
  </si>
  <si>
    <t>MC</t>
  </si>
  <si>
    <t>Cash</t>
  </si>
  <si>
    <t>Debt</t>
  </si>
  <si>
    <t>Net Cash</t>
  </si>
  <si>
    <t>EV</t>
  </si>
  <si>
    <t>Last checked</t>
  </si>
  <si>
    <t>Today</t>
  </si>
  <si>
    <t>Earnings</t>
  </si>
  <si>
    <t>H223</t>
  </si>
  <si>
    <t>Revenue</t>
  </si>
  <si>
    <t>Other revenue</t>
  </si>
  <si>
    <t>Total revenue</t>
  </si>
  <si>
    <t>Cost of sales</t>
  </si>
  <si>
    <t>Other cost of sales</t>
  </si>
  <si>
    <t>Total cost of sales</t>
  </si>
  <si>
    <t>Gross profit</t>
  </si>
  <si>
    <t>SG&amp;A</t>
  </si>
  <si>
    <t>Operating profit</t>
  </si>
  <si>
    <t>Investment income</t>
  </si>
  <si>
    <t>Finance income</t>
  </si>
  <si>
    <t>Finance expense</t>
  </si>
  <si>
    <t>Net finance expense</t>
  </si>
  <si>
    <t>Pretax profit</t>
  </si>
  <si>
    <t>Taxes</t>
  </si>
  <si>
    <t>MI</t>
  </si>
  <si>
    <t>Net profit</t>
  </si>
  <si>
    <t>EPS</t>
  </si>
  <si>
    <t>H123</t>
  </si>
  <si>
    <t>H124</t>
  </si>
  <si>
    <t>H224</t>
  </si>
  <si>
    <t>Revenue y/y</t>
  </si>
  <si>
    <t>Sales Margin</t>
  </si>
  <si>
    <t>Gross Margin</t>
  </si>
  <si>
    <t>SG&amp;A y/y</t>
  </si>
  <si>
    <t>Net Margin</t>
  </si>
  <si>
    <t>Operating Margin</t>
  </si>
  <si>
    <t>Maturity</t>
  </si>
  <si>
    <t>Discount rate</t>
  </si>
  <si>
    <t>NPV</t>
  </si>
  <si>
    <t>Net cash</t>
  </si>
  <si>
    <t>Value</t>
  </si>
  <si>
    <t>Per share</t>
  </si>
  <si>
    <t>Current price</t>
  </si>
  <si>
    <t>Variance</t>
  </si>
  <si>
    <t>Consensus</t>
  </si>
  <si>
    <t>Slightly overvalued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</si>
</sst>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£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164" fontId="0" fillId="0" borderId="0" xfId="0" applyNumberFormat="1"/>
    <xf numFmtId="0" fontId="2" fillId="0" borderId="0" xfId="0" applyFont="1" applyAlignment="1">
      <alignment horizontal="right"/>
    </xf>
    <xf numFmtId="14" fontId="2" fillId="0" borderId="0" xfId="0" applyNumberFormat="1" applyFont="1" applyAlignment="1">
      <alignment horizontal="right"/>
    </xf>
    <xf numFmtId="3" fontId="0" fillId="0" borderId="0" xfId="0" applyNumberFormat="1"/>
    <xf numFmtId="0" fontId="0" fillId="0" borderId="0" xfId="0" applyAlignment="1">
      <alignment horizontal="right"/>
    </xf>
    <xf numFmtId="2" fontId="0" fillId="0" borderId="0" xfId="0" applyNumberFormat="1"/>
    <xf numFmtId="3" fontId="1" fillId="0" borderId="0" xfId="0" applyNumberFormat="1" applyFont="1"/>
    <xf numFmtId="9" fontId="0" fillId="0" borderId="0" xfId="0" applyNumberFormat="1"/>
    <xf numFmtId="9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22860</xdr:colOff>
      <xdr:row>0</xdr:row>
      <xdr:rowOff>7620</xdr:rowOff>
    </xdr:from>
    <xdr:to>
      <xdr:col>13</xdr:col>
      <xdr:colOff>22860</xdr:colOff>
      <xdr:row>33</xdr:row>
      <xdr:rowOff>106680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8BF9FDA8-6917-021B-C6F2-DB0415240392}"/>
            </a:ext>
          </a:extLst>
        </xdr:cNvPr>
        <xdr:cNvCxnSpPr/>
      </xdr:nvCxnSpPr>
      <xdr:spPr>
        <a:xfrm>
          <a:off x="8557260" y="7620"/>
          <a:ext cx="0" cy="61341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7DC4B-7FE9-4F51-83BE-6D80566E1E00}">
  <dimension ref="B2:G9"/>
  <sheetViews>
    <sheetView workbookViewId="0">
      <selection activeCell="D4" sqref="D4"/>
    </sheetView>
  </sheetViews>
  <sheetFormatPr defaultRowHeight="14.4" x14ac:dyDescent="0.3"/>
  <cols>
    <col min="5" max="7" width="14.44140625" style="3" customWidth="1"/>
  </cols>
  <sheetData>
    <row r="2" spans="2:7" x14ac:dyDescent="0.3">
      <c r="E2" s="3" t="s">
        <v>8</v>
      </c>
      <c r="F2" s="3" t="s">
        <v>9</v>
      </c>
      <c r="G2" s="3" t="s">
        <v>10</v>
      </c>
    </row>
    <row r="3" spans="2:7" x14ac:dyDescent="0.3">
      <c r="B3" s="1" t="s">
        <v>0</v>
      </c>
      <c r="C3" t="s">
        <v>1</v>
      </c>
      <c r="D3" s="2">
        <v>3.452</v>
      </c>
      <c r="E3" s="4">
        <v>45605</v>
      </c>
      <c r="F3" s="4">
        <f ca="1">TODAY()</f>
        <v>45773</v>
      </c>
      <c r="G3" s="4">
        <v>45757</v>
      </c>
    </row>
    <row r="4" spans="2:7" x14ac:dyDescent="0.3">
      <c r="C4" t="s">
        <v>2</v>
      </c>
      <c r="D4" s="5">
        <v>7097</v>
      </c>
      <c r="E4" s="3" t="s">
        <v>11</v>
      </c>
    </row>
    <row r="5" spans="2:7" x14ac:dyDescent="0.3">
      <c r="C5" t="s">
        <v>3</v>
      </c>
      <c r="D5" s="5">
        <f>D3*D4</f>
        <v>24498.844000000001</v>
      </c>
    </row>
    <row r="6" spans="2:7" x14ac:dyDescent="0.3">
      <c r="C6" t="s">
        <v>4</v>
      </c>
      <c r="D6" s="5">
        <f>2340+2128+102</f>
        <v>4570</v>
      </c>
      <c r="E6" s="3" t="s">
        <v>11</v>
      </c>
    </row>
    <row r="7" spans="2:7" x14ac:dyDescent="0.3">
      <c r="C7" t="s">
        <v>5</v>
      </c>
      <c r="D7" s="5">
        <f>5683+1536</f>
        <v>7219</v>
      </c>
      <c r="E7" s="3" t="s">
        <v>11</v>
      </c>
    </row>
    <row r="8" spans="2:7" x14ac:dyDescent="0.3">
      <c r="C8" t="s">
        <v>6</v>
      </c>
      <c r="D8" s="5">
        <f>D6-D7</f>
        <v>-2649</v>
      </c>
    </row>
    <row r="9" spans="2:7" x14ac:dyDescent="0.3">
      <c r="C9" t="s">
        <v>7</v>
      </c>
      <c r="D9" s="5">
        <f>D5-D8</f>
        <v>27147.844000000001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B5646-2F90-43FE-9698-3B8AA975E023}">
  <dimension ref="B2:EJ32"/>
  <sheetViews>
    <sheetView tabSelected="1" workbookViewId="0">
      <pane xSplit="2" ySplit="2" topLeftCell="K9" activePane="bottomRight" state="frozen"/>
      <selection pane="topRight" activeCell="C1" sqref="C1"/>
      <selection pane="bottomLeft" activeCell="A3" sqref="A3"/>
      <selection pane="bottomRight" activeCell="AB32" sqref="AB32"/>
    </sheetView>
  </sheetViews>
  <sheetFormatPr defaultRowHeight="14.4" x14ac:dyDescent="0.3"/>
  <cols>
    <col min="2" max="2" width="17.77734375" bestFit="1" customWidth="1"/>
    <col min="13" max="13" width="8.88671875" customWidth="1"/>
    <col min="27" max="27" width="12" bestFit="1" customWidth="1"/>
    <col min="28" max="28" width="17.21875" customWidth="1"/>
  </cols>
  <sheetData>
    <row r="2" spans="2:24" x14ac:dyDescent="0.3">
      <c r="C2" s="6" t="s">
        <v>30</v>
      </c>
      <c r="D2" s="6" t="s">
        <v>11</v>
      </c>
      <c r="E2" s="6" t="s">
        <v>31</v>
      </c>
      <c r="F2" s="6" t="s">
        <v>32</v>
      </c>
      <c r="I2">
        <v>2020</v>
      </c>
      <c r="J2">
        <v>2021</v>
      </c>
      <c r="K2">
        <v>2022</v>
      </c>
      <c r="L2">
        <v>2023</v>
      </c>
      <c r="M2">
        <v>2024</v>
      </c>
      <c r="N2">
        <v>2025</v>
      </c>
      <c r="O2">
        <v>2026</v>
      </c>
      <c r="P2">
        <v>2027</v>
      </c>
      <c r="Q2">
        <v>2028</v>
      </c>
      <c r="R2">
        <v>2029</v>
      </c>
      <c r="S2">
        <v>2030</v>
      </c>
      <c r="T2">
        <v>2031</v>
      </c>
      <c r="U2">
        <v>2032</v>
      </c>
      <c r="V2">
        <v>2033</v>
      </c>
      <c r="W2">
        <v>2034</v>
      </c>
      <c r="X2">
        <v>2035</v>
      </c>
    </row>
    <row r="3" spans="2:24" s="1" customFormat="1" x14ac:dyDescent="0.3">
      <c r="B3" s="1" t="s">
        <v>12</v>
      </c>
      <c r="I3" s="8">
        <v>64760</v>
      </c>
      <c r="J3" s="8">
        <v>57887</v>
      </c>
      <c r="K3" s="8">
        <v>61344</v>
      </c>
      <c r="L3" s="8">
        <v>64864</v>
      </c>
      <c r="M3" s="8">
        <v>67673</v>
      </c>
      <c r="N3" s="8">
        <f>M3*1.03</f>
        <v>69703.19</v>
      </c>
      <c r="O3" s="8">
        <f>N3*1.02</f>
        <v>71097.253800000006</v>
      </c>
      <c r="P3" s="8">
        <f>O3*1.01</f>
        <v>71808.226338000008</v>
      </c>
      <c r="Q3" s="8">
        <f t="shared" ref="Q3:X3" si="0">P3*1.01</f>
        <v>72526.308601380006</v>
      </c>
      <c r="R3" s="8">
        <f t="shared" si="0"/>
        <v>73251.571687393807</v>
      </c>
      <c r="S3" s="8">
        <f t="shared" si="0"/>
        <v>73984.087404267746</v>
      </c>
      <c r="T3" s="8">
        <f t="shared" si="0"/>
        <v>74723.928278310428</v>
      </c>
      <c r="U3" s="8">
        <f t="shared" si="0"/>
        <v>75471.167561093534</v>
      </c>
      <c r="V3" s="8">
        <f t="shared" si="0"/>
        <v>76225.879236704466</v>
      </c>
      <c r="W3" s="8">
        <f t="shared" si="0"/>
        <v>76988.138029071517</v>
      </c>
      <c r="X3" s="8">
        <f t="shared" si="0"/>
        <v>77758.019409362227</v>
      </c>
    </row>
    <row r="4" spans="2:24" x14ac:dyDescent="0.3">
      <c r="B4" t="s">
        <v>13</v>
      </c>
      <c r="I4" s="5"/>
      <c r="J4" s="5"/>
      <c r="K4" s="5"/>
      <c r="L4" s="5">
        <v>458</v>
      </c>
      <c r="M4" s="5">
        <v>514</v>
      </c>
      <c r="N4" s="5">
        <f>M4*1.01</f>
        <v>519.14</v>
      </c>
      <c r="O4" s="5">
        <f t="shared" ref="O4:X4" si="1">N4*1.01</f>
        <v>524.33140000000003</v>
      </c>
      <c r="P4" s="5">
        <f t="shared" si="1"/>
        <v>529.57471400000009</v>
      </c>
      <c r="Q4" s="5">
        <f t="shared" si="1"/>
        <v>534.87046114000009</v>
      </c>
      <c r="R4" s="5">
        <f t="shared" si="1"/>
        <v>540.21916575140006</v>
      </c>
      <c r="S4" s="5">
        <f t="shared" si="1"/>
        <v>545.62135740891404</v>
      </c>
      <c r="T4" s="5">
        <f t="shared" si="1"/>
        <v>551.07757098300317</v>
      </c>
      <c r="U4" s="5">
        <f t="shared" si="1"/>
        <v>556.58834669283317</v>
      </c>
      <c r="V4" s="5">
        <f t="shared" si="1"/>
        <v>562.15423015976148</v>
      </c>
      <c r="W4" s="5">
        <f t="shared" si="1"/>
        <v>567.77577246135911</v>
      </c>
      <c r="X4" s="5">
        <f t="shared" si="1"/>
        <v>573.45353018597268</v>
      </c>
    </row>
    <row r="5" spans="2:24" x14ac:dyDescent="0.3">
      <c r="B5" t="s">
        <v>14</v>
      </c>
      <c r="I5" s="5">
        <f t="shared" ref="I5:N5" si="2">I3+I4</f>
        <v>64760</v>
      </c>
      <c r="J5" s="5">
        <f t="shared" si="2"/>
        <v>57887</v>
      </c>
      <c r="K5" s="5">
        <f t="shared" si="2"/>
        <v>61344</v>
      </c>
      <c r="L5" s="5">
        <f t="shared" si="2"/>
        <v>65322</v>
      </c>
      <c r="M5" s="5">
        <f t="shared" si="2"/>
        <v>68187</v>
      </c>
      <c r="N5" s="5">
        <f t="shared" si="2"/>
        <v>70222.33</v>
      </c>
      <c r="O5" s="5">
        <f t="shared" ref="O5:X5" si="3">O3+O4</f>
        <v>71621.585200000001</v>
      </c>
      <c r="P5" s="5">
        <f t="shared" si="3"/>
        <v>72337.80105200001</v>
      </c>
      <c r="Q5" s="5">
        <f t="shared" si="3"/>
        <v>73061.179062520008</v>
      </c>
      <c r="R5" s="5">
        <f t="shared" si="3"/>
        <v>73791.790853145212</v>
      </c>
      <c r="S5" s="5">
        <f t="shared" si="3"/>
        <v>74529.708761676666</v>
      </c>
      <c r="T5" s="5">
        <f t="shared" si="3"/>
        <v>75275.005849293433</v>
      </c>
      <c r="U5" s="5">
        <f t="shared" si="3"/>
        <v>76027.75590778637</v>
      </c>
      <c r="V5" s="5">
        <f t="shared" si="3"/>
        <v>76788.033466864232</v>
      </c>
      <c r="W5" s="5">
        <f t="shared" si="3"/>
        <v>77555.913801532879</v>
      </c>
      <c r="X5" s="5">
        <f t="shared" si="3"/>
        <v>78331.472939548199</v>
      </c>
    </row>
    <row r="6" spans="2:24" x14ac:dyDescent="0.3">
      <c r="B6" t="s">
        <v>15</v>
      </c>
      <c r="I6" s="5">
        <v>60180</v>
      </c>
      <c r="J6" s="5">
        <v>53727</v>
      </c>
      <c r="K6" s="5">
        <v>56750</v>
      </c>
      <c r="L6" s="5">
        <v>61516</v>
      </c>
      <c r="M6" s="5">
        <v>62836</v>
      </c>
      <c r="N6" s="5">
        <f>N3*0.93</f>
        <v>64823.966700000004</v>
      </c>
      <c r="O6" s="5">
        <f t="shared" ref="O6:X6" si="4">O3*0.93</f>
        <v>66120.446034000008</v>
      </c>
      <c r="P6" s="5">
        <f t="shared" si="4"/>
        <v>66781.650494340007</v>
      </c>
      <c r="Q6" s="5">
        <f t="shared" si="4"/>
        <v>67449.46699928341</v>
      </c>
      <c r="R6" s="5">
        <f t="shared" si="4"/>
        <v>68123.96166927625</v>
      </c>
      <c r="S6" s="5">
        <f t="shared" si="4"/>
        <v>68805.201285969</v>
      </c>
      <c r="T6" s="5">
        <f t="shared" si="4"/>
        <v>69493.253298828698</v>
      </c>
      <c r="U6" s="5">
        <f t="shared" si="4"/>
        <v>70188.185831816998</v>
      </c>
      <c r="V6" s="5">
        <f t="shared" si="4"/>
        <v>70890.067690135154</v>
      </c>
      <c r="W6" s="5">
        <f t="shared" si="4"/>
        <v>71598.968367036519</v>
      </c>
      <c r="X6" s="5">
        <f t="shared" si="4"/>
        <v>72314.958050706875</v>
      </c>
    </row>
    <row r="7" spans="2:24" x14ac:dyDescent="0.3">
      <c r="B7" t="s">
        <v>16</v>
      </c>
      <c r="I7" s="5"/>
      <c r="J7" s="5">
        <v>-384</v>
      </c>
      <c r="K7" s="5">
        <v>-39</v>
      </c>
      <c r="L7" s="5">
        <f>408+37</f>
        <v>445</v>
      </c>
      <c r="M7" s="5">
        <f>454+48</f>
        <v>502</v>
      </c>
      <c r="N7" s="5">
        <f>M7*1.01</f>
        <v>507.02</v>
      </c>
      <c r="O7" s="5">
        <f t="shared" ref="O7:X7" si="5">N7*1.01</f>
        <v>512.09019999999998</v>
      </c>
      <c r="P7" s="5">
        <f t="shared" si="5"/>
        <v>517.21110199999998</v>
      </c>
      <c r="Q7" s="5">
        <f t="shared" si="5"/>
        <v>522.38321301999997</v>
      </c>
      <c r="R7" s="5">
        <f t="shared" si="5"/>
        <v>527.60704515019995</v>
      </c>
      <c r="S7" s="5">
        <f t="shared" si="5"/>
        <v>532.883115601702</v>
      </c>
      <c r="T7" s="5">
        <f t="shared" si="5"/>
        <v>538.21194675771903</v>
      </c>
      <c r="U7" s="5">
        <f t="shared" si="5"/>
        <v>543.59406622529627</v>
      </c>
      <c r="V7" s="5">
        <f t="shared" si="5"/>
        <v>549.03000688754923</v>
      </c>
      <c r="W7" s="5">
        <f t="shared" si="5"/>
        <v>554.52030695642475</v>
      </c>
      <c r="X7" s="5">
        <f t="shared" si="5"/>
        <v>560.06551002598906</v>
      </c>
    </row>
    <row r="8" spans="2:24" x14ac:dyDescent="0.3">
      <c r="B8" t="s">
        <v>17</v>
      </c>
      <c r="I8" s="5">
        <f t="shared" ref="I8:N8" si="6">I6+I7</f>
        <v>60180</v>
      </c>
      <c r="J8" s="5">
        <f t="shared" si="6"/>
        <v>53343</v>
      </c>
      <c r="K8" s="5">
        <f t="shared" si="6"/>
        <v>56711</v>
      </c>
      <c r="L8" s="5">
        <f t="shared" si="6"/>
        <v>61961</v>
      </c>
      <c r="M8" s="5">
        <f t="shared" si="6"/>
        <v>63338</v>
      </c>
      <c r="N8" s="5">
        <f t="shared" si="6"/>
        <v>65330.986700000001</v>
      </c>
      <c r="O8" s="5">
        <f t="shared" ref="O8:X8" si="7">O6+O7</f>
        <v>66632.536234000014</v>
      </c>
      <c r="P8" s="5">
        <f t="shared" si="7"/>
        <v>67298.861596340008</v>
      </c>
      <c r="Q8" s="5">
        <f t="shared" si="7"/>
        <v>67971.850212303412</v>
      </c>
      <c r="R8" s="5">
        <f t="shared" si="7"/>
        <v>68651.568714426452</v>
      </c>
      <c r="S8" s="5">
        <f t="shared" si="7"/>
        <v>69338.084401570697</v>
      </c>
      <c r="T8" s="5">
        <f t="shared" si="7"/>
        <v>70031.465245586412</v>
      </c>
      <c r="U8" s="5">
        <f t="shared" si="7"/>
        <v>70731.779898042296</v>
      </c>
      <c r="V8" s="5">
        <f t="shared" si="7"/>
        <v>71439.097697022706</v>
      </c>
      <c r="W8" s="5">
        <f t="shared" si="7"/>
        <v>72153.48867399295</v>
      </c>
      <c r="X8" s="5">
        <f t="shared" si="7"/>
        <v>72875.023560732865</v>
      </c>
    </row>
    <row r="9" spans="2:24" s="1" customFormat="1" x14ac:dyDescent="0.3">
      <c r="B9" s="1" t="s">
        <v>18</v>
      </c>
      <c r="I9" s="8">
        <f t="shared" ref="I9:N9" si="8">I5-I8</f>
        <v>4580</v>
      </c>
      <c r="J9" s="8">
        <f t="shared" si="8"/>
        <v>4544</v>
      </c>
      <c r="K9" s="8">
        <f t="shared" si="8"/>
        <v>4633</v>
      </c>
      <c r="L9" s="8">
        <f t="shared" si="8"/>
        <v>3361</v>
      </c>
      <c r="M9" s="8">
        <f t="shared" si="8"/>
        <v>4849</v>
      </c>
      <c r="N9" s="8">
        <f t="shared" si="8"/>
        <v>4891.3433000000005</v>
      </c>
      <c r="O9" s="8">
        <f t="shared" ref="O9:X9" si="9">O5-O8</f>
        <v>4989.0489659999876</v>
      </c>
      <c r="P9" s="8">
        <f t="shared" si="9"/>
        <v>5038.9394556600018</v>
      </c>
      <c r="Q9" s="8">
        <f t="shared" si="9"/>
        <v>5089.328850216596</v>
      </c>
      <c r="R9" s="8">
        <f t="shared" si="9"/>
        <v>5140.2221387187601</v>
      </c>
      <c r="S9" s="8">
        <f t="shared" si="9"/>
        <v>5191.6243601059687</v>
      </c>
      <c r="T9" s="8">
        <f t="shared" si="9"/>
        <v>5243.5406037070206</v>
      </c>
      <c r="U9" s="8">
        <f t="shared" si="9"/>
        <v>5295.976009744074</v>
      </c>
      <c r="V9" s="8">
        <f t="shared" si="9"/>
        <v>5348.9357698415261</v>
      </c>
      <c r="W9" s="8">
        <f t="shared" si="9"/>
        <v>5402.4251275399292</v>
      </c>
      <c r="X9" s="8">
        <f t="shared" si="9"/>
        <v>5456.4493788153341</v>
      </c>
    </row>
    <row r="10" spans="2:24" x14ac:dyDescent="0.3">
      <c r="B10" t="s">
        <v>19</v>
      </c>
      <c r="I10" s="5">
        <v>2062</v>
      </c>
      <c r="J10" s="5">
        <v>2229</v>
      </c>
      <c r="K10" s="5">
        <v>2073</v>
      </c>
      <c r="L10" s="5">
        <v>1951</v>
      </c>
      <c r="M10" s="5">
        <v>2028</v>
      </c>
      <c r="N10" s="5">
        <f>M10*1.02</f>
        <v>2068.56</v>
      </c>
      <c r="O10" s="5">
        <f>N10*1.02</f>
        <v>2109.9312</v>
      </c>
      <c r="P10" s="5">
        <f t="shared" ref="P10:X10" si="10">O10*1.01</f>
        <v>2131.0305119999998</v>
      </c>
      <c r="Q10" s="5">
        <f t="shared" si="10"/>
        <v>2152.3408171199999</v>
      </c>
      <c r="R10" s="5">
        <f t="shared" si="10"/>
        <v>2173.8642252912</v>
      </c>
      <c r="S10" s="5">
        <f t="shared" si="10"/>
        <v>2195.6028675441121</v>
      </c>
      <c r="T10" s="5">
        <f t="shared" si="10"/>
        <v>2217.5588962195534</v>
      </c>
      <c r="U10" s="5">
        <f t="shared" si="10"/>
        <v>2239.7344851817488</v>
      </c>
      <c r="V10" s="5">
        <f t="shared" si="10"/>
        <v>2262.1318300335665</v>
      </c>
      <c r="W10" s="5">
        <f t="shared" si="10"/>
        <v>2284.7531483339021</v>
      </c>
      <c r="X10" s="5">
        <f t="shared" si="10"/>
        <v>2307.6006798172411</v>
      </c>
    </row>
    <row r="11" spans="2:24" s="1" customFormat="1" x14ac:dyDescent="0.3">
      <c r="B11" s="1" t="s">
        <v>20</v>
      </c>
      <c r="I11" s="8">
        <f>I9-I10</f>
        <v>2518</v>
      </c>
      <c r="J11" s="8">
        <f>J9-J10</f>
        <v>2315</v>
      </c>
      <c r="K11" s="8">
        <f>K9-K10</f>
        <v>2560</v>
      </c>
      <c r="L11" s="8">
        <f>L9-L10</f>
        <v>1410</v>
      </c>
      <c r="M11" s="8">
        <f>M9-M10</f>
        <v>2821</v>
      </c>
      <c r="N11" s="8">
        <f t="shared" ref="N11:X11" si="11">N9-N10</f>
        <v>2822.7833000000005</v>
      </c>
      <c r="O11" s="8">
        <f t="shared" si="11"/>
        <v>2879.1177659999876</v>
      </c>
      <c r="P11" s="8">
        <f t="shared" si="11"/>
        <v>2907.908943660002</v>
      </c>
      <c r="Q11" s="8">
        <f t="shared" si="11"/>
        <v>2936.9880330965962</v>
      </c>
      <c r="R11" s="8">
        <f t="shared" si="11"/>
        <v>2966.3579134275601</v>
      </c>
      <c r="S11" s="8">
        <f t="shared" si="11"/>
        <v>2996.0214925618566</v>
      </c>
      <c r="T11" s="8">
        <f t="shared" si="11"/>
        <v>3025.9817074874672</v>
      </c>
      <c r="U11" s="8">
        <f t="shared" si="11"/>
        <v>3056.2415245623251</v>
      </c>
      <c r="V11" s="8">
        <f t="shared" si="11"/>
        <v>3086.8039398079595</v>
      </c>
      <c r="W11" s="8">
        <f t="shared" si="11"/>
        <v>3117.6719792060271</v>
      </c>
      <c r="X11" s="8">
        <f t="shared" si="11"/>
        <v>3148.8486989980929</v>
      </c>
    </row>
    <row r="12" spans="2:24" x14ac:dyDescent="0.3">
      <c r="B12" t="s">
        <v>21</v>
      </c>
      <c r="I12" s="5">
        <v>-18</v>
      </c>
      <c r="J12" s="5">
        <v>-26</v>
      </c>
      <c r="K12" s="5">
        <v>-15</v>
      </c>
      <c r="L12" s="5">
        <v>-8</v>
      </c>
      <c r="M12" s="5">
        <v>-6</v>
      </c>
      <c r="N12" s="5">
        <f>M12*1.01</f>
        <v>-6.0600000000000005</v>
      </c>
      <c r="O12" s="5">
        <f t="shared" ref="O12:X12" si="12">N12*1.01</f>
        <v>-6.1206000000000005</v>
      </c>
      <c r="P12" s="5">
        <f t="shared" si="12"/>
        <v>-6.1818060000000008</v>
      </c>
      <c r="Q12" s="5">
        <f t="shared" si="12"/>
        <v>-6.243624060000001</v>
      </c>
      <c r="R12" s="5">
        <f t="shared" si="12"/>
        <v>-6.3060603006000013</v>
      </c>
      <c r="S12" s="5">
        <f t="shared" si="12"/>
        <v>-6.3691209036060012</v>
      </c>
      <c r="T12" s="5">
        <f t="shared" si="12"/>
        <v>-6.4328121126420612</v>
      </c>
      <c r="U12" s="5">
        <f t="shared" si="12"/>
        <v>-6.4971402337684818</v>
      </c>
      <c r="V12" s="5">
        <f t="shared" si="12"/>
        <v>-6.5621116361061667</v>
      </c>
      <c r="W12" s="5">
        <f t="shared" si="12"/>
        <v>-6.627732752467228</v>
      </c>
      <c r="X12" s="5">
        <f t="shared" si="12"/>
        <v>-6.6940100799919007</v>
      </c>
    </row>
    <row r="13" spans="2:24" x14ac:dyDescent="0.3">
      <c r="B13" t="s">
        <v>22</v>
      </c>
      <c r="I13" s="5">
        <v>-23</v>
      </c>
      <c r="J13" s="5">
        <v>-15</v>
      </c>
      <c r="K13" s="5">
        <v>-9</v>
      </c>
      <c r="L13" s="5">
        <v>-87</v>
      </c>
      <c r="M13" s="5">
        <v>-267</v>
      </c>
      <c r="N13" s="5">
        <f>-M19*0.03</f>
        <v>-52.8</v>
      </c>
      <c r="O13" s="5">
        <f t="shared" ref="O13:X13" si="13">-N19*0.03</f>
        <v>-46.543349250000006</v>
      </c>
      <c r="P13" s="5">
        <f t="shared" si="13"/>
        <v>-47.305591093124725</v>
      </c>
      <c r="Q13" s="5">
        <f t="shared" si="13"/>
        <v>-47.598730216945349</v>
      </c>
      <c r="R13" s="5">
        <f t="shared" si="13"/>
        <v>-47.880342516904676</v>
      </c>
      <c r="S13" s="5">
        <f t="shared" si="13"/>
        <v>-48.160639092533962</v>
      </c>
      <c r="T13" s="5">
        <f t="shared" si="13"/>
        <v>-48.439762999115317</v>
      </c>
      <c r="U13" s="5">
        <f t="shared" si="13"/>
        <v>-48.717628371374154</v>
      </c>
      <c r="V13" s="5">
        <f t="shared" si="13"/>
        <v>-48.994141749417459</v>
      </c>
      <c r="W13" s="5">
        <f t="shared" si="13"/>
        <v>-49.269207003065794</v>
      </c>
      <c r="X13" s="5">
        <f t="shared" si="13"/>
        <v>-49.542725385971785</v>
      </c>
    </row>
    <row r="14" spans="2:24" x14ac:dyDescent="0.3">
      <c r="B14" t="s">
        <v>23</v>
      </c>
      <c r="I14" s="5">
        <v>1244</v>
      </c>
      <c r="J14" s="5">
        <v>952</v>
      </c>
      <c r="K14" s="5">
        <v>551</v>
      </c>
      <c r="L14" s="5">
        <v>623</v>
      </c>
      <c r="M14" s="5">
        <v>805</v>
      </c>
      <c r="N14" s="5">
        <f>M14*1.01</f>
        <v>813.05</v>
      </c>
      <c r="O14" s="5">
        <f>N14*1.02</f>
        <v>829.31099999999992</v>
      </c>
      <c r="P14" s="5">
        <f t="shared" ref="P14:X14" si="14">O14*1.02</f>
        <v>845.89721999999995</v>
      </c>
      <c r="Q14" s="5">
        <f t="shared" si="14"/>
        <v>862.81516439999996</v>
      </c>
      <c r="R14" s="5">
        <f t="shared" si="14"/>
        <v>880.07146768799998</v>
      </c>
      <c r="S14" s="5">
        <f t="shared" si="14"/>
        <v>897.67289704176005</v>
      </c>
      <c r="T14" s="5">
        <f t="shared" si="14"/>
        <v>915.62635498259522</v>
      </c>
      <c r="U14" s="5">
        <f t="shared" si="14"/>
        <v>933.93888208224712</v>
      </c>
      <c r="V14" s="5">
        <f t="shared" si="14"/>
        <v>952.61765972389207</v>
      </c>
      <c r="W14" s="5">
        <f t="shared" si="14"/>
        <v>971.67001291836993</v>
      </c>
      <c r="X14" s="5">
        <f t="shared" si="14"/>
        <v>991.10341317673738</v>
      </c>
    </row>
    <row r="15" spans="2:24" x14ac:dyDescent="0.3">
      <c r="B15" t="s">
        <v>24</v>
      </c>
      <c r="I15" s="5">
        <f>SUM(I12:I14)</f>
        <v>1203</v>
      </c>
      <c r="J15" s="5">
        <f>SUM(J12:J14)</f>
        <v>911</v>
      </c>
      <c r="K15" s="5">
        <f>SUM(K12:K14)</f>
        <v>527</v>
      </c>
      <c r="L15" s="5">
        <f>SUM(L12:L14)</f>
        <v>528</v>
      </c>
      <c r="M15" s="5">
        <f>SUM(M12:M14)</f>
        <v>532</v>
      </c>
      <c r="N15" s="5">
        <f t="shared" ref="N15:X15" si="15">SUM(N12:N14)</f>
        <v>754.18999999999994</v>
      </c>
      <c r="O15" s="5">
        <f t="shared" si="15"/>
        <v>776.64705074999995</v>
      </c>
      <c r="P15" s="5">
        <f t="shared" si="15"/>
        <v>792.40982290687521</v>
      </c>
      <c r="Q15" s="5">
        <f t="shared" si="15"/>
        <v>808.97281012305461</v>
      </c>
      <c r="R15" s="5">
        <f t="shared" si="15"/>
        <v>825.88506487049528</v>
      </c>
      <c r="S15" s="5">
        <f t="shared" si="15"/>
        <v>843.14313704562005</v>
      </c>
      <c r="T15" s="5">
        <f t="shared" si="15"/>
        <v>860.75377987083789</v>
      </c>
      <c r="U15" s="5">
        <f t="shared" si="15"/>
        <v>878.72411347710454</v>
      </c>
      <c r="V15" s="5">
        <f t="shared" si="15"/>
        <v>897.06140633836844</v>
      </c>
      <c r="W15" s="5">
        <f t="shared" si="15"/>
        <v>915.77307316283691</v>
      </c>
      <c r="X15" s="5">
        <f t="shared" si="15"/>
        <v>934.86667771077373</v>
      </c>
    </row>
    <row r="16" spans="2:24" s="1" customFormat="1" x14ac:dyDescent="0.3">
      <c r="B16" s="1" t="s">
        <v>25</v>
      </c>
      <c r="I16" s="8">
        <f>I11-I15</f>
        <v>1315</v>
      </c>
      <c r="J16" s="8">
        <f>J11-J15</f>
        <v>1404</v>
      </c>
      <c r="K16" s="8">
        <f>K11-K15</f>
        <v>2033</v>
      </c>
      <c r="L16" s="8">
        <f>L11-L15</f>
        <v>882</v>
      </c>
      <c r="M16" s="8">
        <f>M11-M15</f>
        <v>2289</v>
      </c>
      <c r="N16" s="8">
        <f t="shared" ref="N16:X16" si="16">N11-N15</f>
        <v>2068.5933000000005</v>
      </c>
      <c r="O16" s="8">
        <f t="shared" si="16"/>
        <v>2102.4707152499877</v>
      </c>
      <c r="P16" s="8">
        <f t="shared" si="16"/>
        <v>2115.4991207531266</v>
      </c>
      <c r="Q16" s="8">
        <f t="shared" si="16"/>
        <v>2128.0152229735413</v>
      </c>
      <c r="R16" s="8">
        <f t="shared" si="16"/>
        <v>2140.4728485570649</v>
      </c>
      <c r="S16" s="8">
        <f t="shared" si="16"/>
        <v>2152.8783555162363</v>
      </c>
      <c r="T16" s="8">
        <f t="shared" si="16"/>
        <v>2165.2279276166291</v>
      </c>
      <c r="U16" s="8">
        <f t="shared" si="16"/>
        <v>2177.5174110852204</v>
      </c>
      <c r="V16" s="8">
        <f t="shared" si="16"/>
        <v>2189.7425334695909</v>
      </c>
      <c r="W16" s="8">
        <f t="shared" si="16"/>
        <v>2201.8989060431904</v>
      </c>
      <c r="X16" s="8">
        <f t="shared" si="16"/>
        <v>2213.9820212873192</v>
      </c>
    </row>
    <row r="17" spans="2:140" x14ac:dyDescent="0.3">
      <c r="B17" t="s">
        <v>26</v>
      </c>
      <c r="I17" s="5">
        <v>380</v>
      </c>
      <c r="J17" s="5">
        <v>104</v>
      </c>
      <c r="K17" s="5">
        <v>510</v>
      </c>
      <c r="L17" s="5">
        <v>224</v>
      </c>
      <c r="M17" s="5">
        <v>525</v>
      </c>
      <c r="N17" s="5">
        <f>N16*0.25</f>
        <v>517.14832500000011</v>
      </c>
      <c r="O17" s="5">
        <f t="shared" ref="O17:X17" si="17">O16*0.25</f>
        <v>525.61767881249693</v>
      </c>
      <c r="P17" s="5">
        <f t="shared" si="17"/>
        <v>528.87478018828165</v>
      </c>
      <c r="Q17" s="5">
        <f t="shared" si="17"/>
        <v>532.00380574338533</v>
      </c>
      <c r="R17" s="5">
        <f t="shared" si="17"/>
        <v>535.11821213926623</v>
      </c>
      <c r="S17" s="5">
        <f t="shared" si="17"/>
        <v>538.21958887905907</v>
      </c>
      <c r="T17" s="5">
        <f t="shared" si="17"/>
        <v>541.30698190415728</v>
      </c>
      <c r="U17" s="5">
        <f t="shared" si="17"/>
        <v>544.37935277130509</v>
      </c>
      <c r="V17" s="5">
        <f t="shared" si="17"/>
        <v>547.43563336739771</v>
      </c>
      <c r="W17" s="5">
        <f t="shared" si="17"/>
        <v>550.47472651079761</v>
      </c>
      <c r="X17" s="5">
        <f t="shared" si="17"/>
        <v>553.4955053218298</v>
      </c>
    </row>
    <row r="18" spans="2:140" x14ac:dyDescent="0.3">
      <c r="B18" t="s">
        <v>27</v>
      </c>
      <c r="I18" s="5">
        <v>2</v>
      </c>
      <c r="J18" s="5">
        <v>4</v>
      </c>
      <c r="K18" s="5">
        <f>2</f>
        <v>2</v>
      </c>
      <c r="L18" s="5">
        <f>-1</f>
        <v>-1</v>
      </c>
      <c r="M18" s="5">
        <v>4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</row>
    <row r="19" spans="2:140" s="1" customFormat="1" x14ac:dyDescent="0.3">
      <c r="B19" s="1" t="s">
        <v>28</v>
      </c>
      <c r="I19" s="8">
        <f t="shared" ref="I19:N19" si="18">I16-I17-I18</f>
        <v>933</v>
      </c>
      <c r="J19" s="8">
        <f t="shared" si="18"/>
        <v>1296</v>
      </c>
      <c r="K19" s="8">
        <f t="shared" si="18"/>
        <v>1521</v>
      </c>
      <c r="L19" s="8">
        <f t="shared" si="18"/>
        <v>659</v>
      </c>
      <c r="M19" s="8">
        <f t="shared" si="18"/>
        <v>1760</v>
      </c>
      <c r="N19" s="8">
        <f t="shared" si="18"/>
        <v>1551.4449750000003</v>
      </c>
      <c r="O19" s="8">
        <f t="shared" ref="O19:X19" si="19">O16-O17-O18</f>
        <v>1576.8530364374908</v>
      </c>
      <c r="P19" s="8">
        <f t="shared" si="19"/>
        <v>1586.6243405648449</v>
      </c>
      <c r="Q19" s="8">
        <f t="shared" si="19"/>
        <v>1596.011417230156</v>
      </c>
      <c r="R19" s="8">
        <f t="shared" si="19"/>
        <v>1605.3546364177987</v>
      </c>
      <c r="S19" s="8">
        <f t="shared" si="19"/>
        <v>1614.6587666371772</v>
      </c>
      <c r="T19" s="8">
        <f t="shared" si="19"/>
        <v>1623.9209457124718</v>
      </c>
      <c r="U19" s="8">
        <f t="shared" si="19"/>
        <v>1633.1380583139153</v>
      </c>
      <c r="V19" s="8">
        <f t="shared" si="19"/>
        <v>1642.3069001021931</v>
      </c>
      <c r="W19" s="8">
        <f t="shared" si="19"/>
        <v>1651.4241795323928</v>
      </c>
      <c r="X19" s="8">
        <f t="shared" si="19"/>
        <v>1660.4865159654894</v>
      </c>
      <c r="Y19" s="1">
        <f>X19*(1+$AB$24)</f>
        <v>1643.8816508058344</v>
      </c>
      <c r="Z19" s="1">
        <f t="shared" ref="Z19:CK19" si="20">Y19*(1+$AB$24)</f>
        <v>1627.442834297776</v>
      </c>
      <c r="AA19" s="1">
        <f t="shared" si="20"/>
        <v>1611.1684059547983</v>
      </c>
      <c r="AB19" s="1">
        <f t="shared" si="20"/>
        <v>1595.0567218952503</v>
      </c>
      <c r="AC19" s="1">
        <f t="shared" si="20"/>
        <v>1579.1061546762978</v>
      </c>
      <c r="AD19" s="1">
        <f t="shared" si="20"/>
        <v>1563.3150931295347</v>
      </c>
      <c r="AE19" s="1">
        <f t="shared" si="20"/>
        <v>1547.6819421982393</v>
      </c>
      <c r="AF19" s="1">
        <f t="shared" si="20"/>
        <v>1532.205122776257</v>
      </c>
      <c r="AG19" s="1">
        <f t="shared" si="20"/>
        <v>1516.8830715484944</v>
      </c>
      <c r="AH19" s="1">
        <f t="shared" si="20"/>
        <v>1501.7142408330094</v>
      </c>
      <c r="AI19" s="1">
        <f t="shared" si="20"/>
        <v>1486.6970984246793</v>
      </c>
      <c r="AJ19" s="1">
        <f t="shared" si="20"/>
        <v>1471.8301274404325</v>
      </c>
      <c r="AK19" s="1">
        <f t="shared" si="20"/>
        <v>1457.1118261660281</v>
      </c>
      <c r="AL19" s="1">
        <f t="shared" si="20"/>
        <v>1442.5407079043678</v>
      </c>
      <c r="AM19" s="1">
        <f t="shared" si="20"/>
        <v>1428.1153008253241</v>
      </c>
      <c r="AN19" s="1">
        <f t="shared" si="20"/>
        <v>1413.8341478170707</v>
      </c>
      <c r="AO19" s="1">
        <f t="shared" si="20"/>
        <v>1399.6958063389</v>
      </c>
      <c r="AP19" s="1">
        <f t="shared" si="20"/>
        <v>1385.698848275511</v>
      </c>
      <c r="AQ19" s="1">
        <f t="shared" si="20"/>
        <v>1371.8418597927559</v>
      </c>
      <c r="AR19" s="1">
        <f t="shared" si="20"/>
        <v>1358.1234411948283</v>
      </c>
      <c r="AS19" s="1">
        <f t="shared" si="20"/>
        <v>1344.5422067828799</v>
      </c>
      <c r="AT19" s="1">
        <f t="shared" si="20"/>
        <v>1331.0967847150512</v>
      </c>
      <c r="AU19" s="1">
        <f t="shared" si="20"/>
        <v>1317.7858168679006</v>
      </c>
      <c r="AV19" s="1">
        <f t="shared" si="20"/>
        <v>1304.6079586992216</v>
      </c>
      <c r="AW19" s="1">
        <f t="shared" si="20"/>
        <v>1291.5618791122295</v>
      </c>
      <c r="AX19" s="1">
        <f t="shared" si="20"/>
        <v>1278.6462603211071</v>
      </c>
      <c r="AY19" s="1">
        <f t="shared" si="20"/>
        <v>1265.8597977178961</v>
      </c>
      <c r="AZ19" s="1">
        <f t="shared" si="20"/>
        <v>1253.2011997407171</v>
      </c>
      <c r="BA19" s="1">
        <f t="shared" si="20"/>
        <v>1240.66918774331</v>
      </c>
      <c r="BB19" s="1">
        <f t="shared" si="20"/>
        <v>1228.2624958658769</v>
      </c>
      <c r="BC19" s="1">
        <f t="shared" si="20"/>
        <v>1215.9798709072181</v>
      </c>
      <c r="BD19" s="1">
        <f t="shared" si="20"/>
        <v>1203.8200721981459</v>
      </c>
      <c r="BE19" s="1">
        <f t="shared" si="20"/>
        <v>1191.7818714761645</v>
      </c>
      <c r="BF19" s="1">
        <f t="shared" si="20"/>
        <v>1179.8640527614029</v>
      </c>
      <c r="BG19" s="1">
        <f t="shared" si="20"/>
        <v>1168.0654122337889</v>
      </c>
      <c r="BH19" s="1">
        <f t="shared" si="20"/>
        <v>1156.384758111451</v>
      </c>
      <c r="BI19" s="1">
        <f t="shared" si="20"/>
        <v>1144.8209105303365</v>
      </c>
      <c r="BJ19" s="1">
        <f t="shared" si="20"/>
        <v>1133.372701425033</v>
      </c>
      <c r="BK19" s="1">
        <f t="shared" si="20"/>
        <v>1122.0389744107827</v>
      </c>
      <c r="BL19" s="1">
        <f t="shared" si="20"/>
        <v>1110.8185846666747</v>
      </c>
      <c r="BM19" s="1">
        <f t="shared" si="20"/>
        <v>1099.7103988200079</v>
      </c>
      <c r="BN19" s="1">
        <f t="shared" si="20"/>
        <v>1088.7132948318078</v>
      </c>
      <c r="BO19" s="1">
        <f t="shared" si="20"/>
        <v>1077.8261618834897</v>
      </c>
      <c r="BP19" s="1">
        <f t="shared" si="20"/>
        <v>1067.0479002646548</v>
      </c>
      <c r="BQ19" s="1">
        <f t="shared" si="20"/>
        <v>1056.3774212620083</v>
      </c>
      <c r="BR19" s="1">
        <f t="shared" si="20"/>
        <v>1045.8136470493882</v>
      </c>
      <c r="BS19" s="1">
        <f t="shared" si="20"/>
        <v>1035.3555105788944</v>
      </c>
      <c r="BT19" s="1">
        <f t="shared" si="20"/>
        <v>1025.0019554731055</v>
      </c>
      <c r="BU19" s="1">
        <f t="shared" si="20"/>
        <v>1014.7519359183744</v>
      </c>
      <c r="BV19" s="1">
        <f t="shared" si="20"/>
        <v>1004.6044165591907</v>
      </c>
      <c r="BW19" s="1">
        <f t="shared" si="20"/>
        <v>994.5583723935988</v>
      </c>
      <c r="BX19" s="1">
        <f t="shared" si="20"/>
        <v>984.61278866966279</v>
      </c>
      <c r="BY19" s="1">
        <f t="shared" si="20"/>
        <v>974.76666078296614</v>
      </c>
      <c r="BZ19" s="1">
        <f t="shared" si="20"/>
        <v>965.01899417513653</v>
      </c>
      <c r="CA19" s="1">
        <f t="shared" si="20"/>
        <v>955.36880423338516</v>
      </c>
      <c r="CB19" s="1">
        <f t="shared" si="20"/>
        <v>945.81511619105129</v>
      </c>
      <c r="CC19" s="1">
        <f t="shared" si="20"/>
        <v>936.35696502914072</v>
      </c>
      <c r="CD19" s="1">
        <f t="shared" si="20"/>
        <v>926.9933953788493</v>
      </c>
      <c r="CE19" s="1">
        <f t="shared" si="20"/>
        <v>917.7234614250608</v>
      </c>
      <c r="CF19" s="1">
        <f t="shared" si="20"/>
        <v>908.54622681081014</v>
      </c>
      <c r="CG19" s="1">
        <f t="shared" si="20"/>
        <v>899.46076454270201</v>
      </c>
      <c r="CH19" s="1">
        <f t="shared" si="20"/>
        <v>890.46615689727503</v>
      </c>
      <c r="CI19" s="1">
        <f t="shared" si="20"/>
        <v>881.56149532830227</v>
      </c>
      <c r="CJ19" s="1">
        <f t="shared" si="20"/>
        <v>872.74588037501928</v>
      </c>
      <c r="CK19" s="1">
        <f t="shared" si="20"/>
        <v>864.01842157126907</v>
      </c>
      <c r="CL19" s="1">
        <f t="shared" ref="CL19:EJ19" si="21">CK19*(1+$AB$24)</f>
        <v>855.37823735555639</v>
      </c>
      <c r="CM19" s="1">
        <f t="shared" si="21"/>
        <v>846.82445498200082</v>
      </c>
      <c r="CN19" s="1">
        <f t="shared" si="21"/>
        <v>838.35621043218077</v>
      </c>
      <c r="CO19" s="1">
        <f t="shared" si="21"/>
        <v>829.97264832785891</v>
      </c>
      <c r="CP19" s="1">
        <f t="shared" si="21"/>
        <v>821.67292184458029</v>
      </c>
      <c r="CQ19" s="1">
        <f t="shared" si="21"/>
        <v>813.45619262613445</v>
      </c>
      <c r="CR19" s="1">
        <f t="shared" si="21"/>
        <v>805.32163069987314</v>
      </c>
      <c r="CS19" s="1">
        <f t="shared" si="21"/>
        <v>797.26841439287443</v>
      </c>
      <c r="CT19" s="1">
        <f t="shared" si="21"/>
        <v>789.29573024894569</v>
      </c>
      <c r="CU19" s="1">
        <f t="shared" si="21"/>
        <v>781.40277294645625</v>
      </c>
      <c r="CV19" s="1">
        <f t="shared" si="21"/>
        <v>773.5887452169917</v>
      </c>
      <c r="CW19" s="1">
        <f t="shared" si="21"/>
        <v>765.85285776482181</v>
      </c>
      <c r="CX19" s="1">
        <f t="shared" si="21"/>
        <v>758.19432918717359</v>
      </c>
      <c r="CY19" s="1">
        <f t="shared" si="21"/>
        <v>750.61238589530183</v>
      </c>
      <c r="CZ19" s="1">
        <f t="shared" si="21"/>
        <v>743.10626203634877</v>
      </c>
      <c r="DA19" s="1">
        <f t="shared" si="21"/>
        <v>735.67519941598528</v>
      </c>
      <c r="DB19" s="1">
        <f t="shared" si="21"/>
        <v>728.31844742182545</v>
      </c>
      <c r="DC19" s="1">
        <f t="shared" si="21"/>
        <v>721.03526294760718</v>
      </c>
      <c r="DD19" s="1">
        <f t="shared" si="21"/>
        <v>713.82491031813106</v>
      </c>
      <c r="DE19" s="1">
        <f t="shared" si="21"/>
        <v>706.68666121494971</v>
      </c>
      <c r="DF19" s="1">
        <f t="shared" si="21"/>
        <v>699.6197946028002</v>
      </c>
      <c r="DG19" s="1">
        <f t="shared" si="21"/>
        <v>692.62359665677218</v>
      </c>
      <c r="DH19" s="1">
        <f t="shared" si="21"/>
        <v>685.6973606902045</v>
      </c>
      <c r="DI19" s="1">
        <f t="shared" si="21"/>
        <v>678.8403870833024</v>
      </c>
      <c r="DJ19" s="1">
        <f t="shared" si="21"/>
        <v>672.05198321246939</v>
      </c>
      <c r="DK19" s="1">
        <f t="shared" si="21"/>
        <v>665.33146338034464</v>
      </c>
      <c r="DL19" s="1">
        <f t="shared" si="21"/>
        <v>658.67814874654118</v>
      </c>
      <c r="DM19" s="1">
        <f t="shared" si="21"/>
        <v>652.09136725907581</v>
      </c>
      <c r="DN19" s="1">
        <f t="shared" si="21"/>
        <v>645.57045358648509</v>
      </c>
      <c r="DO19" s="1">
        <f t="shared" si="21"/>
        <v>639.11474905062028</v>
      </c>
      <c r="DP19" s="1">
        <f t="shared" si="21"/>
        <v>632.72360156011405</v>
      </c>
      <c r="DQ19" s="1">
        <f t="shared" si="21"/>
        <v>626.39636554451295</v>
      </c>
      <c r="DR19" s="1">
        <f t="shared" si="21"/>
        <v>620.13240188906786</v>
      </c>
      <c r="DS19" s="1">
        <f t="shared" si="21"/>
        <v>613.93107787017721</v>
      </c>
      <c r="DT19" s="1">
        <f t="shared" si="21"/>
        <v>607.79176709147544</v>
      </c>
      <c r="DU19" s="1">
        <f t="shared" si="21"/>
        <v>601.71384942056068</v>
      </c>
      <c r="DV19" s="1">
        <f t="shared" si="21"/>
        <v>595.69671092635508</v>
      </c>
      <c r="DW19" s="1">
        <f t="shared" si="21"/>
        <v>589.73974381709149</v>
      </c>
      <c r="DX19" s="1">
        <f t="shared" si="21"/>
        <v>583.84234637892052</v>
      </c>
      <c r="DY19" s="1">
        <f t="shared" si="21"/>
        <v>578.00392291513128</v>
      </c>
      <c r="DZ19" s="1">
        <f t="shared" si="21"/>
        <v>572.22388368598001</v>
      </c>
      <c r="EA19" s="1">
        <f t="shared" si="21"/>
        <v>566.50164484912023</v>
      </c>
      <c r="EB19" s="1">
        <f t="shared" si="21"/>
        <v>560.83662840062902</v>
      </c>
      <c r="EC19" s="1">
        <f t="shared" si="21"/>
        <v>555.22826211662277</v>
      </c>
      <c r="ED19" s="1">
        <f t="shared" si="21"/>
        <v>549.67597949545655</v>
      </c>
      <c r="EE19" s="1">
        <f t="shared" si="21"/>
        <v>544.17921970050202</v>
      </c>
      <c r="EF19" s="1">
        <f t="shared" si="21"/>
        <v>538.73742750349697</v>
      </c>
      <c r="EG19" s="1">
        <f t="shared" si="21"/>
        <v>533.350053228462</v>
      </c>
      <c r="EH19" s="1">
        <f t="shared" si="21"/>
        <v>528.01655269617743</v>
      </c>
      <c r="EI19" s="1">
        <f t="shared" si="21"/>
        <v>522.73638716921562</v>
      </c>
      <c r="EJ19" s="1">
        <f t="shared" si="21"/>
        <v>517.50902329752341</v>
      </c>
    </row>
    <row r="20" spans="2:140" x14ac:dyDescent="0.3">
      <c r="B20" t="s">
        <v>2</v>
      </c>
      <c r="I20" s="5">
        <v>7097</v>
      </c>
      <c r="J20" s="5">
        <v>7097</v>
      </c>
      <c r="K20" s="5">
        <v>7097</v>
      </c>
      <c r="L20" s="5">
        <v>7097</v>
      </c>
      <c r="M20" s="5">
        <v>7097</v>
      </c>
      <c r="N20" s="5">
        <v>7097</v>
      </c>
      <c r="O20" s="5">
        <v>7097</v>
      </c>
      <c r="P20" s="5">
        <v>7097</v>
      </c>
      <c r="Q20" s="5">
        <v>7097</v>
      </c>
      <c r="R20" s="5">
        <v>7097</v>
      </c>
      <c r="S20" s="5">
        <v>7097</v>
      </c>
      <c r="T20" s="5">
        <v>7097</v>
      </c>
      <c r="U20" s="5">
        <v>7097</v>
      </c>
      <c r="V20" s="5">
        <v>7097</v>
      </c>
      <c r="W20" s="5">
        <v>7097</v>
      </c>
      <c r="X20" s="5">
        <v>7097</v>
      </c>
    </row>
    <row r="21" spans="2:140" x14ac:dyDescent="0.3">
      <c r="B21" t="s">
        <v>29</v>
      </c>
      <c r="I21" s="7">
        <f t="shared" ref="I21:N21" si="22">I19/I20</f>
        <v>0.13146399887276314</v>
      </c>
      <c r="J21" s="7">
        <f t="shared" si="22"/>
        <v>0.18261237142454559</v>
      </c>
      <c r="K21" s="7">
        <f t="shared" si="22"/>
        <v>0.21431590813019585</v>
      </c>
      <c r="L21" s="7">
        <f t="shared" si="22"/>
        <v>9.2856136395660135E-2</v>
      </c>
      <c r="M21" s="7">
        <f t="shared" si="22"/>
        <v>0.24799210934197549</v>
      </c>
      <c r="N21" s="7">
        <f t="shared" si="22"/>
        <v>0.21860574538537414</v>
      </c>
      <c r="O21" s="7">
        <f t="shared" ref="O21:X21" si="23">O19/O20</f>
        <v>0.22218585831160925</v>
      </c>
      <c r="P21" s="7">
        <f t="shared" si="23"/>
        <v>0.22356268008522545</v>
      </c>
      <c r="Q21" s="7">
        <f t="shared" si="23"/>
        <v>0.22488536243908075</v>
      </c>
      <c r="R21" s="7">
        <f t="shared" si="23"/>
        <v>0.2262018650722557</v>
      </c>
      <c r="S21" s="7">
        <f t="shared" si="23"/>
        <v>0.22751285988969666</v>
      </c>
      <c r="T21" s="7">
        <f t="shared" si="23"/>
        <v>0.22881794359764293</v>
      </c>
      <c r="U21" s="7">
        <f t="shared" si="23"/>
        <v>0.23011667723177615</v>
      </c>
      <c r="V21" s="7">
        <f t="shared" si="23"/>
        <v>0.23140860928592266</v>
      </c>
      <c r="W21" s="7">
        <f t="shared" si="23"/>
        <v>0.23269327596623823</v>
      </c>
      <c r="X21" s="7">
        <f t="shared" si="23"/>
        <v>0.2339702009251077</v>
      </c>
    </row>
    <row r="23" spans="2:140" s="1" customFormat="1" x14ac:dyDescent="0.3">
      <c r="B23" s="1" t="s">
        <v>33</v>
      </c>
      <c r="J23" s="10">
        <f t="shared" ref="J23:L23" si="24">J3/I3-1</f>
        <v>-0.10613032736256944</v>
      </c>
      <c r="K23" s="10">
        <f t="shared" si="24"/>
        <v>5.9719798918582701E-2</v>
      </c>
      <c r="L23" s="10">
        <f t="shared" si="24"/>
        <v>5.7381324986958804E-2</v>
      </c>
      <c r="M23" s="10">
        <f>M3/L3-1</f>
        <v>4.3305994079920973E-2</v>
      </c>
      <c r="N23" s="10">
        <f t="shared" ref="N23:X23" si="25">N3/M3-1</f>
        <v>3.0000000000000027E-2</v>
      </c>
      <c r="O23" s="10">
        <f t="shared" si="25"/>
        <v>2.0000000000000018E-2</v>
      </c>
      <c r="P23" s="10">
        <f t="shared" si="25"/>
        <v>1.0000000000000009E-2</v>
      </c>
      <c r="Q23" s="10">
        <f t="shared" si="25"/>
        <v>1.0000000000000009E-2</v>
      </c>
      <c r="R23" s="10">
        <f t="shared" si="25"/>
        <v>1.0000000000000009E-2</v>
      </c>
      <c r="S23" s="10">
        <f t="shared" si="25"/>
        <v>1.0000000000000009E-2</v>
      </c>
      <c r="T23" s="10">
        <f t="shared" si="25"/>
        <v>1.0000000000000009E-2</v>
      </c>
      <c r="U23" s="10">
        <f t="shared" si="25"/>
        <v>1.0000000000000009E-2</v>
      </c>
      <c r="V23" s="10">
        <f t="shared" si="25"/>
        <v>1.0000000000000009E-2</v>
      </c>
      <c r="W23" s="10">
        <f t="shared" si="25"/>
        <v>1.0000000000000009E-2</v>
      </c>
      <c r="X23" s="10">
        <f t="shared" si="25"/>
        <v>1.0000000000000009E-2</v>
      </c>
    </row>
    <row r="24" spans="2:140" x14ac:dyDescent="0.3">
      <c r="B24" t="s">
        <v>34</v>
      </c>
      <c r="I24" s="9">
        <f t="shared" ref="I24:L24" si="26">(I3-I6)/I3</f>
        <v>7.072266831377394E-2</v>
      </c>
      <c r="J24" s="9">
        <f t="shared" si="26"/>
        <v>7.1864149118109413E-2</v>
      </c>
      <c r="K24" s="9">
        <f t="shared" si="26"/>
        <v>7.4889149713093378E-2</v>
      </c>
      <c r="L24" s="9">
        <f t="shared" si="26"/>
        <v>5.1615688209176121E-2</v>
      </c>
      <c r="M24" s="9">
        <f>(M3-M6)/M3</f>
        <v>7.1476068742334462E-2</v>
      </c>
      <c r="N24" s="9">
        <f t="shared" ref="N24:X24" si="27">(N3-N6)/N3</f>
        <v>6.9999999999999965E-2</v>
      </c>
      <c r="O24" s="9">
        <f t="shared" si="27"/>
        <v>6.9999999999999965E-2</v>
      </c>
      <c r="P24" s="9">
        <f t="shared" si="27"/>
        <v>7.0000000000000007E-2</v>
      </c>
      <c r="Q24" s="9">
        <f t="shared" si="27"/>
        <v>6.9999999999999937E-2</v>
      </c>
      <c r="R24" s="9">
        <f t="shared" si="27"/>
        <v>6.9999999999999868E-2</v>
      </c>
      <c r="S24" s="9">
        <f t="shared" si="27"/>
        <v>7.0000000000000048E-2</v>
      </c>
      <c r="T24" s="9">
        <f t="shared" si="27"/>
        <v>6.9999999999999993E-2</v>
      </c>
      <c r="U24" s="9">
        <f t="shared" si="27"/>
        <v>6.9999999999999854E-2</v>
      </c>
      <c r="V24" s="9">
        <f t="shared" si="27"/>
        <v>6.9999999999999993E-2</v>
      </c>
      <c r="W24" s="9">
        <f t="shared" si="27"/>
        <v>6.9999999999999882E-2</v>
      </c>
      <c r="X24" s="9">
        <f t="shared" si="27"/>
        <v>6.9999999999999951E-2</v>
      </c>
      <c r="AA24" t="s">
        <v>39</v>
      </c>
      <c r="AB24" s="9">
        <v>-0.01</v>
      </c>
    </row>
    <row r="25" spans="2:140" x14ac:dyDescent="0.3">
      <c r="B25" t="s">
        <v>35</v>
      </c>
      <c r="I25" s="9">
        <f t="shared" ref="I25:L25" si="28">I9/I3</f>
        <v>7.072266831377394E-2</v>
      </c>
      <c r="J25" s="9">
        <f t="shared" si="28"/>
        <v>7.849776288285798E-2</v>
      </c>
      <c r="K25" s="9">
        <f t="shared" si="28"/>
        <v>7.5524908711528435E-2</v>
      </c>
      <c r="L25" s="9">
        <f t="shared" si="28"/>
        <v>5.1816107548100641E-2</v>
      </c>
      <c r="M25" s="9">
        <f>M9/M3</f>
        <v>7.1653392047049777E-2</v>
      </c>
      <c r="N25" s="9">
        <f t="shared" ref="N25:X25" si="29">N9/N3</f>
        <v>7.0173880133749977E-2</v>
      </c>
      <c r="O25" s="9">
        <f t="shared" si="29"/>
        <v>7.0172175426556169E-2</v>
      </c>
      <c r="P25" s="9">
        <f t="shared" si="29"/>
        <v>7.0172175426556363E-2</v>
      </c>
      <c r="Q25" s="9">
        <f t="shared" si="29"/>
        <v>7.0172175426556294E-2</v>
      </c>
      <c r="R25" s="9">
        <f t="shared" si="29"/>
        <v>7.0172175426556266E-2</v>
      </c>
      <c r="S25" s="9">
        <f t="shared" si="29"/>
        <v>7.0172175426556543E-2</v>
      </c>
      <c r="T25" s="9">
        <f t="shared" si="29"/>
        <v>7.0172175426556432E-2</v>
      </c>
      <c r="U25" s="9">
        <f t="shared" si="29"/>
        <v>7.017217542655621E-2</v>
      </c>
      <c r="V25" s="9">
        <f t="shared" si="29"/>
        <v>7.0172175426556363E-2</v>
      </c>
      <c r="W25" s="9">
        <f t="shared" si="29"/>
        <v>7.0172175426556196E-2</v>
      </c>
      <c r="X25" s="9">
        <f t="shared" si="29"/>
        <v>7.017217542655628E-2</v>
      </c>
      <c r="AA25" t="s">
        <v>40</v>
      </c>
      <c r="AB25" s="9">
        <v>7.0000000000000007E-2</v>
      </c>
    </row>
    <row r="26" spans="2:140" x14ac:dyDescent="0.3">
      <c r="B26" t="s">
        <v>36</v>
      </c>
      <c r="J26" s="9">
        <f t="shared" ref="J26:L26" si="30">J10/I10-1</f>
        <v>8.0989330746847665E-2</v>
      </c>
      <c r="K26" s="9">
        <f t="shared" si="30"/>
        <v>-6.9986541049798068E-2</v>
      </c>
      <c r="L26" s="9">
        <f t="shared" si="30"/>
        <v>-5.8851905451037134E-2</v>
      </c>
      <c r="M26" s="9">
        <f>M10/L10-1</f>
        <v>3.9466940030753461E-2</v>
      </c>
      <c r="N26" s="9">
        <f t="shared" ref="N26:X26" si="31">N10/M10-1</f>
        <v>2.0000000000000018E-2</v>
      </c>
      <c r="O26" s="9">
        <f t="shared" si="31"/>
        <v>2.0000000000000018E-2</v>
      </c>
      <c r="P26" s="9">
        <f t="shared" si="31"/>
        <v>1.0000000000000009E-2</v>
      </c>
      <c r="Q26" s="9">
        <f t="shared" si="31"/>
        <v>1.0000000000000009E-2</v>
      </c>
      <c r="R26" s="9">
        <f t="shared" si="31"/>
        <v>1.0000000000000009E-2</v>
      </c>
      <c r="S26" s="9">
        <f t="shared" si="31"/>
        <v>1.0000000000000009E-2</v>
      </c>
      <c r="T26" s="9">
        <f t="shared" si="31"/>
        <v>1.0000000000000009E-2</v>
      </c>
      <c r="U26" s="9">
        <f t="shared" si="31"/>
        <v>1.0000000000000009E-2</v>
      </c>
      <c r="V26" s="9">
        <f t="shared" si="31"/>
        <v>1.0000000000000009E-2</v>
      </c>
      <c r="W26" s="9">
        <f t="shared" si="31"/>
        <v>1.0000000000000009E-2</v>
      </c>
      <c r="X26" s="9">
        <f t="shared" si="31"/>
        <v>1.0000000000000009E-2</v>
      </c>
      <c r="AA26" t="s">
        <v>41</v>
      </c>
      <c r="AB26" s="5">
        <f>NPV(AB25,N19:EJ19)</f>
        <v>21805.247203998511</v>
      </c>
    </row>
    <row r="27" spans="2:140" x14ac:dyDescent="0.3">
      <c r="B27" t="s">
        <v>38</v>
      </c>
      <c r="I27" s="9">
        <f t="shared" ref="I27:L27" si="32">I11/I3</f>
        <v>3.8882025941939471E-2</v>
      </c>
      <c r="J27" s="9">
        <f t="shared" si="32"/>
        <v>3.9991707982794063E-2</v>
      </c>
      <c r="K27" s="9">
        <f t="shared" si="32"/>
        <v>4.1731872717788214E-2</v>
      </c>
      <c r="L27" s="9">
        <f t="shared" si="32"/>
        <v>2.1737789837197829E-2</v>
      </c>
      <c r="M27" s="9">
        <f>M11/M3</f>
        <v>4.1685753550160333E-2</v>
      </c>
      <c r="N27" s="9">
        <f t="shared" ref="N27:X27" si="33">N11/N3</f>
        <v>4.0497189583432271E-2</v>
      </c>
      <c r="O27" s="9">
        <f t="shared" si="33"/>
        <v>4.0495484876238462E-2</v>
      </c>
      <c r="P27" s="9">
        <f t="shared" si="33"/>
        <v>4.0495484876238663E-2</v>
      </c>
      <c r="Q27" s="9">
        <f t="shared" si="33"/>
        <v>4.049548487623858E-2</v>
      </c>
      <c r="R27" s="9">
        <f t="shared" si="33"/>
        <v>4.0495484876238552E-2</v>
      </c>
      <c r="S27" s="9">
        <f t="shared" si="33"/>
        <v>4.0495484876238837E-2</v>
      </c>
      <c r="T27" s="9">
        <f t="shared" si="33"/>
        <v>4.0495484876238726E-2</v>
      </c>
      <c r="U27" s="9">
        <f t="shared" si="33"/>
        <v>4.0495484876238504E-2</v>
      </c>
      <c r="V27" s="9">
        <f t="shared" si="33"/>
        <v>4.0495484876238649E-2</v>
      </c>
      <c r="W27" s="9">
        <f t="shared" si="33"/>
        <v>4.049548487623849E-2</v>
      </c>
      <c r="X27" s="9">
        <f t="shared" si="33"/>
        <v>4.0495484876238566E-2</v>
      </c>
      <c r="AA27" t="s">
        <v>42</v>
      </c>
      <c r="AB27" s="5">
        <f>Main!D8</f>
        <v>-2649</v>
      </c>
    </row>
    <row r="28" spans="2:140" x14ac:dyDescent="0.3">
      <c r="B28" t="s">
        <v>26</v>
      </c>
      <c r="I28" s="9">
        <f t="shared" ref="I28:L28" si="34">I17/I16</f>
        <v>0.28897338403041822</v>
      </c>
      <c r="J28" s="9">
        <f t="shared" si="34"/>
        <v>7.407407407407407E-2</v>
      </c>
      <c r="K28" s="9">
        <f t="shared" si="34"/>
        <v>0.25086079685194296</v>
      </c>
      <c r="L28" s="9">
        <f t="shared" si="34"/>
        <v>0.25396825396825395</v>
      </c>
      <c r="M28" s="9">
        <f>M17/M16</f>
        <v>0.22935779816513763</v>
      </c>
      <c r="N28" s="9">
        <f t="shared" ref="N28:X28" si="35">N17/N16</f>
        <v>0.25</v>
      </c>
      <c r="O28" s="9">
        <f t="shared" si="35"/>
        <v>0.25</v>
      </c>
      <c r="P28" s="9">
        <f t="shared" si="35"/>
        <v>0.25</v>
      </c>
      <c r="Q28" s="9">
        <f t="shared" si="35"/>
        <v>0.25</v>
      </c>
      <c r="R28" s="9">
        <f t="shared" si="35"/>
        <v>0.25</v>
      </c>
      <c r="S28" s="9">
        <f t="shared" si="35"/>
        <v>0.25</v>
      </c>
      <c r="T28" s="9">
        <f t="shared" si="35"/>
        <v>0.25</v>
      </c>
      <c r="U28" s="9">
        <f t="shared" si="35"/>
        <v>0.25</v>
      </c>
      <c r="V28" s="9">
        <f t="shared" si="35"/>
        <v>0.25</v>
      </c>
      <c r="W28" s="9">
        <f t="shared" si="35"/>
        <v>0.25</v>
      </c>
      <c r="X28" s="9">
        <f t="shared" si="35"/>
        <v>0.25</v>
      </c>
      <c r="AA28" t="s">
        <v>43</v>
      </c>
      <c r="AB28" s="5">
        <f>AB26+AB27</f>
        <v>19156.247203998511</v>
      </c>
    </row>
    <row r="29" spans="2:140" x14ac:dyDescent="0.3">
      <c r="B29" t="s">
        <v>37</v>
      </c>
      <c r="I29" s="9">
        <f t="shared" ref="I29:L29" si="36">I19/I3</f>
        <v>1.4407041383570105E-2</v>
      </c>
      <c r="J29" s="9">
        <f t="shared" si="36"/>
        <v>2.2388446456026397E-2</v>
      </c>
      <c r="K29" s="9">
        <f t="shared" si="36"/>
        <v>2.4794600938967137E-2</v>
      </c>
      <c r="L29" s="9">
        <f t="shared" si="36"/>
        <v>1.0159718796250617E-2</v>
      </c>
      <c r="M29" s="9">
        <f>M19/M3</f>
        <v>2.6007418024913926E-2</v>
      </c>
      <c r="N29" s="9">
        <f t="shared" ref="N29:X29" si="37">N19/N3</f>
        <v>2.2257876217716868E-2</v>
      </c>
      <c r="O29" s="9">
        <f t="shared" si="37"/>
        <v>2.2178817776467911E-2</v>
      </c>
      <c r="P29" s="9">
        <f t="shared" si="37"/>
        <v>2.2095300517473208E-2</v>
      </c>
      <c r="Q29" s="9">
        <f t="shared" si="37"/>
        <v>2.2005965118150072E-2</v>
      </c>
      <c r="R29" s="9">
        <f t="shared" si="37"/>
        <v>2.1915634019004555E-2</v>
      </c>
      <c r="S29" s="9">
        <f t="shared" si="37"/>
        <v>2.1824406075515588E-2</v>
      </c>
      <c r="T29" s="9">
        <f t="shared" si="37"/>
        <v>2.1732274829879838E-2</v>
      </c>
      <c r="U29" s="9">
        <f t="shared" si="37"/>
        <v>2.1639231392463858E-2</v>
      </c>
      <c r="V29" s="9">
        <f t="shared" si="37"/>
        <v>2.1545266732868142E-2</v>
      </c>
      <c r="W29" s="9">
        <f t="shared" si="37"/>
        <v>2.145037173010728E-2</v>
      </c>
      <c r="X29" s="9">
        <f t="shared" si="37"/>
        <v>2.1354537172863786E-2</v>
      </c>
      <c r="AA29" t="s">
        <v>44</v>
      </c>
      <c r="AB29" s="2">
        <f>AB28/X20</f>
        <v>2.6992034949976769</v>
      </c>
    </row>
    <row r="30" spans="2:140" x14ac:dyDescent="0.3">
      <c r="AA30" t="s">
        <v>45</v>
      </c>
      <c r="AB30" s="2">
        <f>Main!D3</f>
        <v>3.452</v>
      </c>
    </row>
    <row r="31" spans="2:140" x14ac:dyDescent="0.3">
      <c r="AA31" s="1" t="s">
        <v>46</v>
      </c>
      <c r="AB31" s="10">
        <f>AB29/AB30-1</f>
        <v>-0.21807546494852925</v>
      </c>
    </row>
    <row r="32" spans="2:140" x14ac:dyDescent="0.3">
      <c r="AA32" t="s">
        <v>47</v>
      </c>
      <c r="AB32" s="6" t="s">
        <v>48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 Mniszek</dc:creator>
  <cp:lastModifiedBy>Anton Mniszek</cp:lastModifiedBy>
  <dcterms:created xsi:type="dcterms:W3CDTF">2024-11-09T13:41:50Z</dcterms:created>
  <dcterms:modified xsi:type="dcterms:W3CDTF">2025-04-26T08:53:54Z</dcterms:modified>
</cp:coreProperties>
</file>