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336B0D79-E2CC-4689-AE9D-272B2FC8383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3" i="1" l="1"/>
  <c r="AW12" i="1"/>
  <c r="AW11" i="1"/>
  <c r="AW10" i="1"/>
  <c r="BG13" i="1"/>
  <c r="BF13" i="1"/>
  <c r="BE13" i="1"/>
  <c r="BD13" i="1"/>
  <c r="BC13" i="1"/>
  <c r="BB13" i="1"/>
  <c r="BA13" i="1"/>
  <c r="BB8" i="1"/>
  <c r="BC8" i="1" s="1"/>
  <c r="BD8" i="1" s="1"/>
  <c r="BE8" i="1" s="1"/>
  <c r="BF8" i="1" s="1"/>
  <c r="BG8" i="1" s="1"/>
  <c r="BA8" i="1"/>
  <c r="AL10" i="1"/>
  <c r="AK10" i="1"/>
  <c r="AJ10" i="1"/>
  <c r="AL8" i="1"/>
  <c r="AK8" i="1"/>
  <c r="AJ8" i="1"/>
  <c r="AL7" i="1"/>
  <c r="AK7" i="1"/>
  <c r="AJ7" i="1"/>
  <c r="AL4" i="1"/>
  <c r="AK4" i="1"/>
  <c r="AJ4" i="1"/>
  <c r="AL3" i="1"/>
  <c r="AK3" i="1"/>
  <c r="AJ3" i="1"/>
  <c r="BG28" i="1"/>
  <c r="BF28" i="1"/>
  <c r="BE28" i="1"/>
  <c r="BD28" i="1"/>
  <c r="BC28" i="1"/>
  <c r="BB28" i="1"/>
  <c r="BA28" i="1"/>
  <c r="AZ28" i="1"/>
  <c r="AY28" i="1"/>
  <c r="AX28" i="1"/>
  <c r="AW28" i="1"/>
  <c r="AL28" i="1"/>
  <c r="AK28" i="1"/>
  <c r="AJ28" i="1"/>
  <c r="AI28" i="1"/>
  <c r="D7" i="2"/>
  <c r="D6" i="2"/>
  <c r="D4" i="2"/>
  <c r="BB16" i="1" l="1"/>
  <c r="BC16" i="1" s="1"/>
  <c r="BD16" i="1" s="1"/>
  <c r="BE16" i="1" s="1"/>
  <c r="BF16" i="1" s="1"/>
  <c r="BG16" i="1" s="1"/>
  <c r="AW8" i="1"/>
  <c r="AX8" i="1" s="1"/>
  <c r="AY8" i="1" s="1"/>
  <c r="AZ8" i="1" s="1"/>
  <c r="AW7" i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AW5" i="1"/>
  <c r="AW4" i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W3" i="1"/>
  <c r="AL22" i="1"/>
  <c r="AK22" i="1"/>
  <c r="AJ22" i="1"/>
  <c r="AL21" i="1"/>
  <c r="AK21" i="1"/>
  <c r="AJ21" i="1"/>
  <c r="AL16" i="1"/>
  <c r="AL43" i="1"/>
  <c r="AK16" i="1"/>
  <c r="AK43" i="1" s="1"/>
  <c r="AJ16" i="1"/>
  <c r="AI43" i="1"/>
  <c r="AL13" i="1"/>
  <c r="AK13" i="1"/>
  <c r="AJ13" i="1"/>
  <c r="AJ14" i="1"/>
  <c r="AL12" i="1"/>
  <c r="AL40" i="1" s="1"/>
  <c r="AK12" i="1"/>
  <c r="AK40" i="1" s="1"/>
  <c r="AJ12" i="1"/>
  <c r="AJ40" i="1" s="1"/>
  <c r="AL11" i="1"/>
  <c r="AL39" i="1" s="1"/>
  <c r="AK11" i="1"/>
  <c r="AK39" i="1" s="1"/>
  <c r="AJ11" i="1"/>
  <c r="AI39" i="1"/>
  <c r="AL38" i="1"/>
  <c r="AK38" i="1"/>
  <c r="AJ38" i="1"/>
  <c r="AI38" i="1"/>
  <c r="AL35" i="1"/>
  <c r="AK35" i="1"/>
  <c r="AJ43" i="1"/>
  <c r="AL41" i="1"/>
  <c r="AJ41" i="1"/>
  <c r="AJ39" i="1"/>
  <c r="AJ35" i="1"/>
  <c r="AL34" i="1"/>
  <c r="AK34" i="1"/>
  <c r="AJ34" i="1"/>
  <c r="AI34" i="1"/>
  <c r="AL33" i="1"/>
  <c r="AK33" i="1"/>
  <c r="AJ33" i="1"/>
  <c r="AI33" i="1"/>
  <c r="AL32" i="1"/>
  <c r="AK32" i="1"/>
  <c r="AJ32" i="1"/>
  <c r="AI32" i="1"/>
  <c r="AL31" i="1"/>
  <c r="AK31" i="1"/>
  <c r="AJ31" i="1"/>
  <c r="AI31" i="1"/>
  <c r="AL6" i="1"/>
  <c r="AL9" i="1" s="1"/>
  <c r="AL36" i="1" s="1"/>
  <c r="AK6" i="1"/>
  <c r="AK9" i="1" s="1"/>
  <c r="AK17" i="1" s="1"/>
  <c r="AK19" i="1" s="1"/>
  <c r="AJ6" i="1"/>
  <c r="AJ9" i="1" s="1"/>
  <c r="AI6" i="1"/>
  <c r="AI9" i="1" s="1"/>
  <c r="AL5" i="1"/>
  <c r="AK5" i="1"/>
  <c r="AJ5" i="1"/>
  <c r="AH43" i="1"/>
  <c r="AG43" i="1"/>
  <c r="AH34" i="1"/>
  <c r="AH32" i="1"/>
  <c r="AU4" i="1"/>
  <c r="AT4" i="1"/>
  <c r="AF32" i="1"/>
  <c r="AE32" i="1"/>
  <c r="AD32" i="1"/>
  <c r="AC32" i="1"/>
  <c r="AB32" i="1"/>
  <c r="AA32" i="1"/>
  <c r="Z32" i="1"/>
  <c r="Y32" i="1"/>
  <c r="X32" i="1"/>
  <c r="T41" i="1"/>
  <c r="U41" i="1"/>
  <c r="V41" i="1"/>
  <c r="AF41" i="1"/>
  <c r="AE41" i="1"/>
  <c r="AD41" i="1"/>
  <c r="AC41" i="1"/>
  <c r="AB41" i="1"/>
  <c r="AA41" i="1"/>
  <c r="Z41" i="1"/>
  <c r="Y41" i="1"/>
  <c r="X41" i="1"/>
  <c r="W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41" i="1"/>
  <c r="C40" i="1"/>
  <c r="C39" i="1"/>
  <c r="C38" i="1"/>
  <c r="AG33" i="1"/>
  <c r="AF6" i="1"/>
  <c r="AF9" i="1" s="1"/>
  <c r="AE6" i="1"/>
  <c r="AE9" i="1" s="1"/>
  <c r="AD6" i="1"/>
  <c r="AD9" i="1" s="1"/>
  <c r="AC6" i="1"/>
  <c r="AC9" i="1" s="1"/>
  <c r="AB6" i="1"/>
  <c r="AA6" i="1"/>
  <c r="AA9" i="1" s="1"/>
  <c r="Z6" i="1"/>
  <c r="Z9" i="1" s="1"/>
  <c r="Y6" i="1"/>
  <c r="Y9" i="1" s="1"/>
  <c r="X6" i="1"/>
  <c r="X9" i="1" s="1"/>
  <c r="W6" i="1"/>
  <c r="W9" i="1" s="1"/>
  <c r="V6" i="1"/>
  <c r="U6" i="1"/>
  <c r="U9" i="1" s="1"/>
  <c r="T6" i="1"/>
  <c r="S6" i="1"/>
  <c r="S9" i="1" s="1"/>
  <c r="S44" i="1" s="1"/>
  <c r="R6" i="1"/>
  <c r="R9" i="1" s="1"/>
  <c r="Q6" i="1"/>
  <c r="Q9" i="1" s="1"/>
  <c r="P6" i="1"/>
  <c r="P9" i="1" s="1"/>
  <c r="O6" i="1"/>
  <c r="O9" i="1" s="1"/>
  <c r="N6" i="1"/>
  <c r="N9" i="1" s="1"/>
  <c r="M6" i="1"/>
  <c r="M9" i="1" s="1"/>
  <c r="L6" i="1"/>
  <c r="L9" i="1" s="1"/>
  <c r="K6" i="1"/>
  <c r="K9" i="1" s="1"/>
  <c r="J6" i="1"/>
  <c r="J9" i="1" s="1"/>
  <c r="I6" i="1"/>
  <c r="I9" i="1" s="1"/>
  <c r="H6" i="1"/>
  <c r="H9" i="1" s="1"/>
  <c r="G6" i="1"/>
  <c r="G9" i="1" s="1"/>
  <c r="F6" i="1"/>
  <c r="F9" i="1" s="1"/>
  <c r="E6" i="1"/>
  <c r="E9" i="1" s="1"/>
  <c r="D6" i="1"/>
  <c r="D9" i="1" s="1"/>
  <c r="C6" i="1"/>
  <c r="C9" i="1" s="1"/>
  <c r="AV23" i="1"/>
  <c r="AV18" i="1"/>
  <c r="AS26" i="1"/>
  <c r="AS25" i="1"/>
  <c r="AS23" i="1"/>
  <c r="AS22" i="1"/>
  <c r="AS21" i="1"/>
  <c r="AS18" i="1"/>
  <c r="AS17" i="1"/>
  <c r="AS16" i="1"/>
  <c r="AS13" i="1"/>
  <c r="AS12" i="1"/>
  <c r="AS11" i="1"/>
  <c r="AS10" i="1"/>
  <c r="AS7" i="1"/>
  <c r="AS5" i="1"/>
  <c r="AS3" i="1"/>
  <c r="AH33" i="1"/>
  <c r="AF33" i="1"/>
  <c r="AT26" i="1"/>
  <c r="AT25" i="1"/>
  <c r="AT23" i="1"/>
  <c r="AT22" i="1"/>
  <c r="AT21" i="1"/>
  <c r="AT18" i="1"/>
  <c r="AT17" i="1"/>
  <c r="AT16" i="1"/>
  <c r="AT13" i="1"/>
  <c r="AT12" i="1"/>
  <c r="AT11" i="1"/>
  <c r="AT10" i="1"/>
  <c r="AT7" i="1"/>
  <c r="AT5" i="1"/>
  <c r="AT3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4" i="1"/>
  <c r="G33" i="1"/>
  <c r="S35" i="1"/>
  <c r="R35" i="1"/>
  <c r="Q35" i="1"/>
  <c r="P35" i="1"/>
  <c r="O35" i="1"/>
  <c r="N35" i="1"/>
  <c r="M35" i="1"/>
  <c r="L35" i="1"/>
  <c r="K35" i="1"/>
  <c r="J35" i="1"/>
  <c r="I35" i="1"/>
  <c r="H35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5" i="1"/>
  <c r="G31" i="1"/>
  <c r="V19" i="1"/>
  <c r="V14" i="1"/>
  <c r="T19" i="1"/>
  <c r="T14" i="1"/>
  <c r="X19" i="1"/>
  <c r="X14" i="1"/>
  <c r="W19" i="1"/>
  <c r="W14" i="1"/>
  <c r="W35" i="1"/>
  <c r="U19" i="1"/>
  <c r="U14" i="1"/>
  <c r="AU26" i="1"/>
  <c r="AU25" i="1"/>
  <c r="AU23" i="1"/>
  <c r="AU22" i="1"/>
  <c r="AU21" i="1"/>
  <c r="AU18" i="1"/>
  <c r="AU17" i="1"/>
  <c r="AU16" i="1"/>
  <c r="AU13" i="1"/>
  <c r="AU12" i="1"/>
  <c r="AU11" i="1"/>
  <c r="AU10" i="1"/>
  <c r="AU7" i="1"/>
  <c r="AU5" i="1"/>
  <c r="AU3" i="1"/>
  <c r="AE43" i="1"/>
  <c r="AD43" i="1"/>
  <c r="AC43" i="1"/>
  <c r="AB43" i="1"/>
  <c r="AA43" i="1"/>
  <c r="Z43" i="1"/>
  <c r="Y43" i="1"/>
  <c r="X43" i="1"/>
  <c r="W43" i="1"/>
  <c r="Y19" i="1"/>
  <c r="Y14" i="1"/>
  <c r="AB19" i="1"/>
  <c r="AB14" i="1"/>
  <c r="AC19" i="1"/>
  <c r="AC14" i="1"/>
  <c r="Z19" i="1"/>
  <c r="Z14" i="1"/>
  <c r="AD19" i="1"/>
  <c r="AD14" i="1"/>
  <c r="AA19" i="1"/>
  <c r="AA14" i="1"/>
  <c r="AE19" i="1"/>
  <c r="AE14" i="1"/>
  <c r="S14" i="1"/>
  <c r="AL14" i="1" l="1"/>
  <c r="AL15" i="1"/>
  <c r="AL42" i="1" s="1"/>
  <c r="AL17" i="1"/>
  <c r="AL19" i="1" s="1"/>
  <c r="AJ17" i="1"/>
  <c r="AJ19" i="1" s="1"/>
  <c r="AJ36" i="1"/>
  <c r="AJ15" i="1"/>
  <c r="AJ42" i="1" s="1"/>
  <c r="AI36" i="1"/>
  <c r="AI14" i="1"/>
  <c r="AI15" i="1" s="1"/>
  <c r="AI42" i="1" s="1"/>
  <c r="AI41" i="1"/>
  <c r="AK14" i="1"/>
  <c r="AK15" i="1" s="1"/>
  <c r="AK42" i="1" s="1"/>
  <c r="AI40" i="1"/>
  <c r="AK36" i="1"/>
  <c r="AK44" i="1"/>
  <c r="AK41" i="1"/>
  <c r="AI35" i="1"/>
  <c r="AU32" i="1"/>
  <c r="AT34" i="1"/>
  <c r="AS40" i="1"/>
  <c r="AS39" i="1"/>
  <c r="AS38" i="1"/>
  <c r="AT6" i="1"/>
  <c r="AG40" i="1"/>
  <c r="AU40" i="1"/>
  <c r="AU39" i="1"/>
  <c r="AT33" i="1"/>
  <c r="AS6" i="1"/>
  <c r="AV4" i="1"/>
  <c r="AG32" i="1"/>
  <c r="AU6" i="1"/>
  <c r="AG38" i="1"/>
  <c r="AT38" i="1"/>
  <c r="AH31" i="1"/>
  <c r="AH38" i="1"/>
  <c r="AU38" i="1"/>
  <c r="AG41" i="1"/>
  <c r="AT39" i="1"/>
  <c r="AH6" i="1"/>
  <c r="AT40" i="1"/>
  <c r="T9" i="1"/>
  <c r="T44" i="1" s="1"/>
  <c r="V9" i="1"/>
  <c r="V15" i="1" s="1"/>
  <c r="V20" i="1" s="1"/>
  <c r="V24" i="1" s="1"/>
  <c r="V27" i="1" s="1"/>
  <c r="U44" i="1"/>
  <c r="X44" i="1"/>
  <c r="AG6" i="1"/>
  <c r="AG31" i="1"/>
  <c r="AB9" i="1"/>
  <c r="AB44" i="1" s="1"/>
  <c r="AC44" i="1"/>
  <c r="AA44" i="1"/>
  <c r="AD44" i="1"/>
  <c r="Z44" i="1"/>
  <c r="AV16" i="1"/>
  <c r="AW16" i="1" s="1"/>
  <c r="AX16" i="1" s="1"/>
  <c r="AY16" i="1" s="1"/>
  <c r="AZ16" i="1" s="1"/>
  <c r="AU31" i="1"/>
  <c r="AF34" i="1"/>
  <c r="AF31" i="1"/>
  <c r="AU34" i="1"/>
  <c r="AU33" i="1"/>
  <c r="AT31" i="1"/>
  <c r="AV7" i="1"/>
  <c r="AG39" i="1"/>
  <c r="AH39" i="1"/>
  <c r="AS8" i="1"/>
  <c r="AS41" i="1" s="1"/>
  <c r="AV22" i="1"/>
  <c r="AV3" i="1"/>
  <c r="AV5" i="1"/>
  <c r="AG34" i="1"/>
  <c r="AH40" i="1"/>
  <c r="AF43" i="1"/>
  <c r="AC15" i="1"/>
  <c r="AC42" i="1" s="1"/>
  <c r="AT8" i="1"/>
  <c r="AT19" i="1"/>
  <c r="AT14" i="1"/>
  <c r="AE35" i="1"/>
  <c r="U35" i="1"/>
  <c r="Y35" i="1"/>
  <c r="AU19" i="1"/>
  <c r="Z35" i="1"/>
  <c r="AD36" i="1"/>
  <c r="T35" i="1"/>
  <c r="AB35" i="1"/>
  <c r="AC35" i="1"/>
  <c r="V35" i="1"/>
  <c r="AD35" i="1"/>
  <c r="AU8" i="1"/>
  <c r="AA35" i="1"/>
  <c r="X35" i="1"/>
  <c r="X15" i="1"/>
  <c r="X20" i="1" s="1"/>
  <c r="X24" i="1" s="1"/>
  <c r="X27" i="1" s="1"/>
  <c r="U15" i="1"/>
  <c r="U20" i="1" s="1"/>
  <c r="U24" i="1" s="1"/>
  <c r="AU14" i="1"/>
  <c r="Z15" i="1"/>
  <c r="AD15" i="1"/>
  <c r="AA15" i="1"/>
  <c r="S15" i="1"/>
  <c r="S42" i="1" s="1"/>
  <c r="S28" i="1"/>
  <c r="S19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D8" i="2"/>
  <c r="AJ20" i="1" l="1"/>
  <c r="AJ24" i="1" s="1"/>
  <c r="AK20" i="1"/>
  <c r="AK45" i="1" s="1"/>
  <c r="AL20" i="1"/>
  <c r="AL45" i="1" s="1"/>
  <c r="AL44" i="1"/>
  <c r="AJ44" i="1"/>
  <c r="AI44" i="1"/>
  <c r="AI19" i="1"/>
  <c r="AI20" i="1" s="1"/>
  <c r="X29" i="1"/>
  <c r="X48" i="1"/>
  <c r="V29" i="1"/>
  <c r="V48" i="1"/>
  <c r="BA16" i="1"/>
  <c r="AV32" i="1"/>
  <c r="AH14" i="1"/>
  <c r="T15" i="1"/>
  <c r="T20" i="1" s="1"/>
  <c r="T24" i="1" s="1"/>
  <c r="T27" i="1" s="1"/>
  <c r="X36" i="1"/>
  <c r="V44" i="1"/>
  <c r="Z36" i="1"/>
  <c r="AU9" i="1"/>
  <c r="AU44" i="1" s="1"/>
  <c r="AU41" i="1"/>
  <c r="AT9" i="1"/>
  <c r="AT44" i="1" s="1"/>
  <c r="AT41" i="1"/>
  <c r="AH9" i="1"/>
  <c r="AB15" i="1"/>
  <c r="AB20" i="1" s="1"/>
  <c r="AB36" i="1"/>
  <c r="AG14" i="1"/>
  <c r="AG9" i="1"/>
  <c r="AF14" i="1"/>
  <c r="AV6" i="1"/>
  <c r="AV34" i="1"/>
  <c r="AW34" i="1"/>
  <c r="AF35" i="1"/>
  <c r="AV31" i="1"/>
  <c r="AG35" i="1"/>
  <c r="AV21" i="1"/>
  <c r="Y15" i="1"/>
  <c r="Y42" i="1" s="1"/>
  <c r="Y44" i="1"/>
  <c r="AU35" i="1"/>
  <c r="AT35" i="1"/>
  <c r="AV11" i="1"/>
  <c r="AV39" i="1" s="1"/>
  <c r="W36" i="1"/>
  <c r="W44" i="1"/>
  <c r="AV33" i="1"/>
  <c r="AV10" i="1"/>
  <c r="AV38" i="1" s="1"/>
  <c r="AC20" i="1"/>
  <c r="AC24" i="1" s="1"/>
  <c r="AE36" i="1"/>
  <c r="AE44" i="1"/>
  <c r="AV8" i="1"/>
  <c r="AV12" i="1"/>
  <c r="AV40" i="1" s="1"/>
  <c r="AH35" i="1"/>
  <c r="AE15" i="1"/>
  <c r="AE20" i="1" s="1"/>
  <c r="AA36" i="1"/>
  <c r="W15" i="1"/>
  <c r="W42" i="1" s="1"/>
  <c r="Y36" i="1"/>
  <c r="AC36" i="1"/>
  <c r="AA20" i="1"/>
  <c r="AA42" i="1"/>
  <c r="S20" i="1"/>
  <c r="S45" i="1" s="1"/>
  <c r="AD20" i="1"/>
  <c r="AD42" i="1"/>
  <c r="Z20" i="1"/>
  <c r="Z42" i="1"/>
  <c r="X42" i="1"/>
  <c r="U27" i="1"/>
  <c r="AJ45" i="1" l="1"/>
  <c r="AK24" i="1"/>
  <c r="AK26" i="1" s="1"/>
  <c r="AK47" i="1" s="1"/>
  <c r="AL24" i="1"/>
  <c r="AL25" i="1" s="1"/>
  <c r="AL46" i="1" s="1"/>
  <c r="AJ26" i="1"/>
  <c r="AJ47" i="1" s="1"/>
  <c r="AJ25" i="1"/>
  <c r="AJ46" i="1" s="1"/>
  <c r="AI45" i="1"/>
  <c r="AI24" i="1"/>
  <c r="AX12" i="1"/>
  <c r="U29" i="1"/>
  <c r="U48" i="1"/>
  <c r="T29" i="1"/>
  <c r="T48" i="1"/>
  <c r="AY12" i="1"/>
  <c r="AW32" i="1"/>
  <c r="AH41" i="1"/>
  <c r="AW38" i="1"/>
  <c r="AW40" i="1"/>
  <c r="AV13" i="1"/>
  <c r="AV14" i="1" s="1"/>
  <c r="AW6" i="1"/>
  <c r="AW31" i="1"/>
  <c r="AX3" i="1"/>
  <c r="AX10" i="1" s="1"/>
  <c r="AB42" i="1"/>
  <c r="AV9" i="1"/>
  <c r="AT15" i="1"/>
  <c r="AT20" i="1" s="1"/>
  <c r="AT24" i="1" s="1"/>
  <c r="AC45" i="1"/>
  <c r="Y20" i="1"/>
  <c r="Y24" i="1" s="1"/>
  <c r="Y47" i="1" s="1"/>
  <c r="AU15" i="1"/>
  <c r="AU20" i="1" s="1"/>
  <c r="AU24" i="1" s="1"/>
  <c r="AH15" i="1"/>
  <c r="AH42" i="1" s="1"/>
  <c r="AH36" i="1"/>
  <c r="AV35" i="1"/>
  <c r="AX5" i="1"/>
  <c r="AX11" i="1" s="1"/>
  <c r="AW39" i="1"/>
  <c r="AW33" i="1"/>
  <c r="AH44" i="1"/>
  <c r="AH19" i="1"/>
  <c r="AG15" i="1"/>
  <c r="AG42" i="1" s="1"/>
  <c r="AF36" i="1"/>
  <c r="AW35" i="1"/>
  <c r="AG36" i="1"/>
  <c r="AE42" i="1"/>
  <c r="W20" i="1"/>
  <c r="W24" i="1" s="1"/>
  <c r="AF15" i="1"/>
  <c r="AB24" i="1"/>
  <c r="AB45" i="1"/>
  <c r="Z24" i="1"/>
  <c r="Z45" i="1"/>
  <c r="S24" i="1"/>
  <c r="AA24" i="1"/>
  <c r="AA45" i="1"/>
  <c r="AC27" i="1"/>
  <c r="AC47" i="1"/>
  <c r="AC46" i="1"/>
  <c r="AD24" i="1"/>
  <c r="AD45" i="1"/>
  <c r="AE24" i="1"/>
  <c r="AE45" i="1"/>
  <c r="X45" i="1"/>
  <c r="AT43" i="1"/>
  <c r="F3" i="2"/>
  <c r="AK25" i="1" l="1"/>
  <c r="AK46" i="1" s="1"/>
  <c r="AL26" i="1"/>
  <c r="AL47" i="1" s="1"/>
  <c r="AJ27" i="1"/>
  <c r="AI46" i="1"/>
  <c r="AC29" i="1"/>
  <c r="AC48" i="1"/>
  <c r="AZ12" i="1"/>
  <c r="AX13" i="1"/>
  <c r="AW41" i="1"/>
  <c r="AW9" i="1"/>
  <c r="AW17" i="1" s="1"/>
  <c r="AV41" i="1"/>
  <c r="AX32" i="1"/>
  <c r="AX40" i="1"/>
  <c r="AX34" i="1"/>
  <c r="AX38" i="1"/>
  <c r="AY3" i="1"/>
  <c r="AZ3" i="1" s="1"/>
  <c r="AX31" i="1"/>
  <c r="AX6" i="1"/>
  <c r="Y27" i="1"/>
  <c r="Y46" i="1"/>
  <c r="Y45" i="1"/>
  <c r="AH20" i="1"/>
  <c r="AH24" i="1" s="1"/>
  <c r="AV15" i="1"/>
  <c r="AY5" i="1"/>
  <c r="AY11" i="1" s="1"/>
  <c r="AX39" i="1"/>
  <c r="AX33" i="1"/>
  <c r="AG44" i="1"/>
  <c r="AG19" i="1"/>
  <c r="AG20" i="1" s="1"/>
  <c r="AF44" i="1"/>
  <c r="AV17" i="1"/>
  <c r="AF19" i="1"/>
  <c r="AF20" i="1" s="1"/>
  <c r="W45" i="1"/>
  <c r="AF42" i="1"/>
  <c r="AD27" i="1"/>
  <c r="AD47" i="1"/>
  <c r="AD46" i="1"/>
  <c r="Z27" i="1"/>
  <c r="Z46" i="1"/>
  <c r="Z47" i="1"/>
  <c r="AA27" i="1"/>
  <c r="AA47" i="1"/>
  <c r="AA46" i="1"/>
  <c r="AE27" i="1"/>
  <c r="AE47" i="1"/>
  <c r="AE46" i="1"/>
  <c r="AB27" i="1"/>
  <c r="AB47" i="1"/>
  <c r="AB46" i="1"/>
  <c r="W47" i="1"/>
  <c r="W27" i="1"/>
  <c r="W46" i="1"/>
  <c r="X46" i="1"/>
  <c r="X47" i="1"/>
  <c r="AU43" i="1"/>
  <c r="S47" i="1"/>
  <c r="S46" i="1"/>
  <c r="S27" i="1"/>
  <c r="BJ36" i="1"/>
  <c r="AK27" i="1" l="1"/>
  <c r="AK29" i="1" s="1"/>
  <c r="AL27" i="1"/>
  <c r="AL29" i="1" s="1"/>
  <c r="AJ29" i="1"/>
  <c r="AJ48" i="1"/>
  <c r="BA3" i="1"/>
  <c r="BA10" i="1" s="1"/>
  <c r="AZ10" i="1"/>
  <c r="AI27" i="1"/>
  <c r="AI47" i="1"/>
  <c r="S29" i="1"/>
  <c r="S48" i="1"/>
  <c r="AB29" i="1"/>
  <c r="AB48" i="1"/>
  <c r="Z29" i="1"/>
  <c r="Z48" i="1"/>
  <c r="AA29" i="1"/>
  <c r="AA48" i="1"/>
  <c r="AY13" i="1"/>
  <c r="AE29" i="1"/>
  <c r="AE48" i="1"/>
  <c r="W29" i="1"/>
  <c r="W48" i="1"/>
  <c r="AD29" i="1"/>
  <c r="AD48" i="1"/>
  <c r="Y29" i="1"/>
  <c r="Y48" i="1"/>
  <c r="BA12" i="1"/>
  <c r="AX9" i="1"/>
  <c r="AX17" i="1" s="1"/>
  <c r="AX35" i="1"/>
  <c r="AX41" i="1"/>
  <c r="AY10" i="1"/>
  <c r="AY38" i="1" s="1"/>
  <c r="AY31" i="1"/>
  <c r="AY32" i="1"/>
  <c r="AW14" i="1"/>
  <c r="AY6" i="1"/>
  <c r="AY34" i="1"/>
  <c r="AY40" i="1"/>
  <c r="AH45" i="1"/>
  <c r="AZ5" i="1"/>
  <c r="AZ11" i="1" s="1"/>
  <c r="AY39" i="1"/>
  <c r="AY33" i="1"/>
  <c r="AX14" i="1"/>
  <c r="AH47" i="1"/>
  <c r="AH46" i="1"/>
  <c r="AG24" i="1"/>
  <c r="AG45" i="1"/>
  <c r="AF24" i="1"/>
  <c r="AF45" i="1"/>
  <c r="AV44" i="1"/>
  <c r="AV43" i="1"/>
  <c r="R28" i="1"/>
  <c r="Q28" i="1"/>
  <c r="AO26" i="1"/>
  <c r="AP26" i="1"/>
  <c r="AQ26" i="1"/>
  <c r="AK48" i="1" l="1"/>
  <c r="AL48" i="1"/>
  <c r="AI29" i="1"/>
  <c r="AI48" i="1"/>
  <c r="AY9" i="1"/>
  <c r="AY17" i="1" s="1"/>
  <c r="AY35" i="1"/>
  <c r="AY41" i="1"/>
  <c r="BB12" i="1"/>
  <c r="AZ38" i="1"/>
  <c r="AZ31" i="1"/>
  <c r="BA31" i="1"/>
  <c r="BA38" i="1"/>
  <c r="AZ32" i="1"/>
  <c r="AZ34" i="1"/>
  <c r="AZ40" i="1"/>
  <c r="AZ6" i="1"/>
  <c r="AZ9" i="1" s="1"/>
  <c r="AZ17" i="1" s="1"/>
  <c r="AY14" i="1"/>
  <c r="BA5" i="1"/>
  <c r="BA11" i="1" s="1"/>
  <c r="AZ39" i="1"/>
  <c r="AZ33" i="1"/>
  <c r="AH27" i="1"/>
  <c r="AG46" i="1"/>
  <c r="AZ35" i="1"/>
  <c r="AF27" i="1"/>
  <c r="AF47" i="1"/>
  <c r="AW43" i="1"/>
  <c r="AX43" i="1"/>
  <c r="AO11" i="1"/>
  <c r="AO10" i="1"/>
  <c r="AO3" i="1"/>
  <c r="AO5" i="1"/>
  <c r="AO7" i="1"/>
  <c r="AO8" i="1"/>
  <c r="AZ13" i="1" l="1"/>
  <c r="AZ41" i="1" s="1"/>
  <c r="AF29" i="1"/>
  <c r="AF48" i="1"/>
  <c r="BC12" i="1"/>
  <c r="AH29" i="1"/>
  <c r="AH48" i="1"/>
  <c r="BB3" i="1"/>
  <c r="BB10" i="1" s="1"/>
  <c r="BA32" i="1"/>
  <c r="AO6" i="1"/>
  <c r="BA6" i="1"/>
  <c r="BA9" i="1" s="1"/>
  <c r="BA17" i="1" s="1"/>
  <c r="BA34" i="1"/>
  <c r="BA40" i="1"/>
  <c r="BB5" i="1"/>
  <c r="BB11" i="1" s="1"/>
  <c r="BA39" i="1"/>
  <c r="BA33" i="1"/>
  <c r="AV26" i="1"/>
  <c r="AG47" i="1"/>
  <c r="AG27" i="1"/>
  <c r="AV25" i="1"/>
  <c r="AF46" i="1"/>
  <c r="BA35" i="1"/>
  <c r="AQ28" i="1"/>
  <c r="AP28" i="1"/>
  <c r="AO28" i="1"/>
  <c r="AR18" i="1"/>
  <c r="AR21" i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AR22" i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AR23" i="1"/>
  <c r="D5" i="2"/>
  <c r="D9" i="2" s="1"/>
  <c r="AZ14" i="1" l="1"/>
  <c r="BA41" i="1"/>
  <c r="BB38" i="1"/>
  <c r="BB31" i="1"/>
  <c r="BD12" i="1"/>
  <c r="BC3" i="1"/>
  <c r="BC10" i="1" s="1"/>
  <c r="BC38" i="1" s="1"/>
  <c r="AG29" i="1"/>
  <c r="AG48" i="1"/>
  <c r="BB32" i="1"/>
  <c r="BB34" i="1"/>
  <c r="BB40" i="1"/>
  <c r="BB6" i="1"/>
  <c r="BB9" i="1" s="1"/>
  <c r="BB17" i="1" s="1"/>
  <c r="BC5" i="1"/>
  <c r="BC11" i="1" s="1"/>
  <c r="BB39" i="1"/>
  <c r="BB33" i="1"/>
  <c r="BB35" i="1"/>
  <c r="BJ33" i="1"/>
  <c r="AR16" i="1"/>
  <c r="AR13" i="1"/>
  <c r="AR12" i="1"/>
  <c r="AR11" i="1"/>
  <c r="Q19" i="1"/>
  <c r="Q14" i="1"/>
  <c r="BA14" i="1" l="1"/>
  <c r="BB41" i="1"/>
  <c r="BE12" i="1"/>
  <c r="BD3" i="1"/>
  <c r="BD10" i="1" s="1"/>
  <c r="BC31" i="1"/>
  <c r="BC32" i="1"/>
  <c r="BC6" i="1"/>
  <c r="BC9" i="1" s="1"/>
  <c r="BC17" i="1" s="1"/>
  <c r="BC34" i="1"/>
  <c r="BC40" i="1"/>
  <c r="BD5" i="1"/>
  <c r="BD11" i="1" s="1"/>
  <c r="BC39" i="1"/>
  <c r="BC33" i="1"/>
  <c r="BC35" i="1"/>
  <c r="AS43" i="1"/>
  <c r="R19" i="1"/>
  <c r="AR17" i="1"/>
  <c r="R14" i="1"/>
  <c r="AR10" i="1"/>
  <c r="AR8" i="1"/>
  <c r="AR41" i="1" s="1"/>
  <c r="AR7" i="1"/>
  <c r="AR40" i="1" s="1"/>
  <c r="Q44" i="1"/>
  <c r="AR3" i="1"/>
  <c r="AR5" i="1"/>
  <c r="AR39" i="1" s="1"/>
  <c r="AO12" i="1"/>
  <c r="AO13" i="1"/>
  <c r="AO16" i="1"/>
  <c r="AO17" i="1"/>
  <c r="AO18" i="1"/>
  <c r="AO21" i="1"/>
  <c r="AO22" i="1"/>
  <c r="AO23" i="1"/>
  <c r="F19" i="1"/>
  <c r="F14" i="1"/>
  <c r="F44" i="1"/>
  <c r="J44" i="1"/>
  <c r="J19" i="1"/>
  <c r="J14" i="1"/>
  <c r="AP5" i="1"/>
  <c r="AP7" i="1"/>
  <c r="AP8" i="1"/>
  <c r="AP10" i="1"/>
  <c r="AP11" i="1"/>
  <c r="AP12" i="1"/>
  <c r="AP13" i="1"/>
  <c r="AP16" i="1"/>
  <c r="AP17" i="1"/>
  <c r="AP18" i="1"/>
  <c r="AP21" i="1"/>
  <c r="AP22" i="1"/>
  <c r="AP23" i="1"/>
  <c r="AP3" i="1"/>
  <c r="I19" i="1"/>
  <c r="I14" i="1"/>
  <c r="I44" i="1"/>
  <c r="E19" i="1"/>
  <c r="E14" i="1"/>
  <c r="E44" i="1"/>
  <c r="D19" i="1"/>
  <c r="D14" i="1"/>
  <c r="D44" i="1"/>
  <c r="H19" i="1"/>
  <c r="H14" i="1"/>
  <c r="H44" i="1"/>
  <c r="G19" i="1"/>
  <c r="G14" i="1"/>
  <c r="G44" i="1"/>
  <c r="C19" i="1"/>
  <c r="C14" i="1"/>
  <c r="C44" i="1"/>
  <c r="BB14" i="1" l="1"/>
  <c r="BC41" i="1"/>
  <c r="BG12" i="1"/>
  <c r="BF12" i="1"/>
  <c r="BE3" i="1"/>
  <c r="BD38" i="1"/>
  <c r="BD31" i="1"/>
  <c r="BD32" i="1"/>
  <c r="AR38" i="1"/>
  <c r="AR6" i="1"/>
  <c r="BD6" i="1"/>
  <c r="BD9" i="1" s="1"/>
  <c r="BD17" i="1" s="1"/>
  <c r="AP35" i="1"/>
  <c r="AP41" i="1"/>
  <c r="BD34" i="1"/>
  <c r="BD40" i="1"/>
  <c r="AP34" i="1"/>
  <c r="AP40" i="1"/>
  <c r="AP33" i="1"/>
  <c r="AP39" i="1"/>
  <c r="AP31" i="1"/>
  <c r="AP38" i="1"/>
  <c r="AP6" i="1"/>
  <c r="AS31" i="1"/>
  <c r="AS34" i="1"/>
  <c r="BE5" i="1"/>
  <c r="BE11" i="1" s="1"/>
  <c r="BD39" i="1"/>
  <c r="BD33" i="1"/>
  <c r="AS35" i="1"/>
  <c r="AS33" i="1"/>
  <c r="BD35" i="1"/>
  <c r="AY43" i="1"/>
  <c r="AP43" i="1"/>
  <c r="AZ43" i="1"/>
  <c r="J36" i="1"/>
  <c r="H36" i="1"/>
  <c r="I36" i="1"/>
  <c r="AP19" i="1"/>
  <c r="AP25" i="1"/>
  <c r="AO9" i="1"/>
  <c r="AO44" i="1" s="1"/>
  <c r="AP9" i="1"/>
  <c r="AP44" i="1" s="1"/>
  <c r="AR19" i="1"/>
  <c r="AO25" i="1"/>
  <c r="AO19" i="1"/>
  <c r="Q15" i="1"/>
  <c r="Q20" i="1" s="1"/>
  <c r="R44" i="1"/>
  <c r="G36" i="1"/>
  <c r="AO14" i="1"/>
  <c r="AP14" i="1"/>
  <c r="F15" i="1"/>
  <c r="J15" i="1"/>
  <c r="J42" i="1" s="1"/>
  <c r="I15" i="1"/>
  <c r="E15" i="1"/>
  <c r="D15" i="1"/>
  <c r="H15" i="1"/>
  <c r="G15" i="1"/>
  <c r="C15" i="1"/>
  <c r="C42" i="1" s="1"/>
  <c r="M19" i="1"/>
  <c r="M14" i="1"/>
  <c r="N19" i="1"/>
  <c r="N14" i="1"/>
  <c r="AQ23" i="1"/>
  <c r="AQ22" i="1"/>
  <c r="AQ21" i="1"/>
  <c r="AQ18" i="1"/>
  <c r="AQ17" i="1"/>
  <c r="AQ16" i="1"/>
  <c r="AQ13" i="1"/>
  <c r="AQ12" i="1"/>
  <c r="AQ11" i="1"/>
  <c r="AQ10" i="1"/>
  <c r="AQ8" i="1"/>
  <c r="AQ7" i="1"/>
  <c r="AQ5" i="1"/>
  <c r="AQ3" i="1"/>
  <c r="O19" i="1"/>
  <c r="O14" i="1"/>
  <c r="O44" i="1"/>
  <c r="L14" i="1"/>
  <c r="L19" i="1"/>
  <c r="K19" i="1"/>
  <c r="K14" i="1"/>
  <c r="BE31" i="1" l="1"/>
  <c r="BE10" i="1"/>
  <c r="BC14" i="1"/>
  <c r="BD41" i="1"/>
  <c r="BE38" i="1"/>
  <c r="BF3" i="1"/>
  <c r="BF10" i="1" s="1"/>
  <c r="BE32" i="1"/>
  <c r="AQ33" i="1"/>
  <c r="AQ39" i="1"/>
  <c r="AQ31" i="1"/>
  <c r="AQ38" i="1"/>
  <c r="AQ6" i="1"/>
  <c r="BE34" i="1"/>
  <c r="BE40" i="1"/>
  <c r="AQ34" i="1"/>
  <c r="AQ40" i="1"/>
  <c r="BE6" i="1"/>
  <c r="BE9" i="1" s="1"/>
  <c r="BE17" i="1" s="1"/>
  <c r="AQ35" i="1"/>
  <c r="AQ41" i="1"/>
  <c r="BD14" i="1"/>
  <c r="N36" i="1"/>
  <c r="N44" i="1"/>
  <c r="M36" i="1"/>
  <c r="M44" i="1"/>
  <c r="AR34" i="1"/>
  <c r="K36" i="1"/>
  <c r="K44" i="1"/>
  <c r="BF5" i="1"/>
  <c r="BF11" i="1" s="1"/>
  <c r="BE39" i="1"/>
  <c r="BE33" i="1"/>
  <c r="AR31" i="1"/>
  <c r="AR33" i="1"/>
  <c r="L36" i="1"/>
  <c r="L44" i="1"/>
  <c r="AR35" i="1"/>
  <c r="BE35" i="1"/>
  <c r="U42" i="1"/>
  <c r="AQ43" i="1"/>
  <c r="AR43" i="1"/>
  <c r="BA43" i="1"/>
  <c r="U36" i="1"/>
  <c r="O36" i="1"/>
  <c r="R36" i="1"/>
  <c r="AP36" i="1"/>
  <c r="Q36" i="1"/>
  <c r="AQ19" i="1"/>
  <c r="AP15" i="1"/>
  <c r="AQ9" i="1"/>
  <c r="AQ36" i="1" s="1"/>
  <c r="AS19" i="1"/>
  <c r="AO15" i="1"/>
  <c r="Q42" i="1"/>
  <c r="R15" i="1"/>
  <c r="Q24" i="1"/>
  <c r="Q45" i="1"/>
  <c r="H20" i="1"/>
  <c r="H42" i="1"/>
  <c r="AQ25" i="1"/>
  <c r="D20" i="1"/>
  <c r="D42" i="1"/>
  <c r="F20" i="1"/>
  <c r="F42" i="1"/>
  <c r="E20" i="1"/>
  <c r="E42" i="1"/>
  <c r="G20" i="1"/>
  <c r="G42" i="1"/>
  <c r="I20" i="1"/>
  <c r="I42" i="1"/>
  <c r="C20" i="1"/>
  <c r="C45" i="1" s="1"/>
  <c r="L15" i="1"/>
  <c r="J20" i="1"/>
  <c r="J45" i="1" s="1"/>
  <c r="M15" i="1"/>
  <c r="AQ14" i="1"/>
  <c r="N15" i="1"/>
  <c r="N42" i="1" s="1"/>
  <c r="O15" i="1"/>
  <c r="K15" i="1"/>
  <c r="P19" i="1"/>
  <c r="P14" i="1"/>
  <c r="P44" i="1"/>
  <c r="BE41" i="1" l="1"/>
  <c r="BF38" i="1"/>
  <c r="BG3" i="1"/>
  <c r="BG10" i="1" s="1"/>
  <c r="BF31" i="1"/>
  <c r="BG32" i="1"/>
  <c r="BF32" i="1"/>
  <c r="BF6" i="1"/>
  <c r="BF9" i="1" s="1"/>
  <c r="BF17" i="1" s="1"/>
  <c r="BF34" i="1"/>
  <c r="BF40" i="1"/>
  <c r="AQ44" i="1"/>
  <c r="BG5" i="1"/>
  <c r="BG11" i="1" s="1"/>
  <c r="BF39" i="1"/>
  <c r="BF33" i="1"/>
  <c r="BF35" i="1"/>
  <c r="V36" i="1"/>
  <c r="U45" i="1"/>
  <c r="AS9" i="1"/>
  <c r="AS44" i="1" s="1"/>
  <c r="BB43" i="1"/>
  <c r="S36" i="1"/>
  <c r="P36" i="1"/>
  <c r="Q46" i="1"/>
  <c r="AP42" i="1"/>
  <c r="AP20" i="1"/>
  <c r="AP45" i="1" s="1"/>
  <c r="AQ15" i="1"/>
  <c r="AO42" i="1"/>
  <c r="AO20" i="1"/>
  <c r="AO45" i="1" s="1"/>
  <c r="AR9" i="1"/>
  <c r="AR44" i="1" s="1"/>
  <c r="AR14" i="1"/>
  <c r="R20" i="1"/>
  <c r="R42" i="1"/>
  <c r="N20" i="1"/>
  <c r="N45" i="1" s="1"/>
  <c r="K20" i="1"/>
  <c r="K42" i="1"/>
  <c r="O20" i="1"/>
  <c r="O42" i="1"/>
  <c r="M20" i="1"/>
  <c r="M42" i="1"/>
  <c r="L20" i="1"/>
  <c r="L42" i="1"/>
  <c r="G24" i="1"/>
  <c r="G47" i="1" s="1"/>
  <c r="G45" i="1"/>
  <c r="E24" i="1"/>
  <c r="E47" i="1" s="1"/>
  <c r="E45" i="1"/>
  <c r="D24" i="1"/>
  <c r="D47" i="1" s="1"/>
  <c r="D45" i="1"/>
  <c r="I24" i="1"/>
  <c r="I47" i="1" s="1"/>
  <c r="I45" i="1"/>
  <c r="F24" i="1"/>
  <c r="F47" i="1" s="1"/>
  <c r="F45" i="1"/>
  <c r="H24" i="1"/>
  <c r="H47" i="1" s="1"/>
  <c r="H45" i="1"/>
  <c r="C24" i="1"/>
  <c r="C47" i="1" s="1"/>
  <c r="J24" i="1"/>
  <c r="J47" i="1" s="1"/>
  <c r="P15" i="1"/>
  <c r="AR15" i="1" s="1"/>
  <c r="BE14" i="1" l="1"/>
  <c r="BG41" i="1"/>
  <c r="BF41" i="1"/>
  <c r="BG38" i="1"/>
  <c r="BG31" i="1"/>
  <c r="BG34" i="1"/>
  <c r="BG40" i="1"/>
  <c r="BG6" i="1"/>
  <c r="BG9" i="1" s="1"/>
  <c r="BG17" i="1" s="1"/>
  <c r="BG39" i="1"/>
  <c r="BG33" i="1"/>
  <c r="BF14" i="1"/>
  <c r="BG35" i="1"/>
  <c r="T42" i="1"/>
  <c r="U46" i="1"/>
  <c r="V42" i="1"/>
  <c r="BC43" i="1"/>
  <c r="AS14" i="1"/>
  <c r="AS15" i="1" s="1"/>
  <c r="T36" i="1"/>
  <c r="Q27" i="1"/>
  <c r="Q48" i="1" s="1"/>
  <c r="Q47" i="1"/>
  <c r="AR36" i="1"/>
  <c r="J46" i="1"/>
  <c r="J27" i="1"/>
  <c r="J48" i="1" s="1"/>
  <c r="C27" i="1"/>
  <c r="C48" i="1" s="1"/>
  <c r="C46" i="1"/>
  <c r="D27" i="1"/>
  <c r="D46" i="1"/>
  <c r="I27" i="1"/>
  <c r="I46" i="1"/>
  <c r="E46" i="1"/>
  <c r="E27" i="1"/>
  <c r="F27" i="1"/>
  <c r="F46" i="1"/>
  <c r="H27" i="1"/>
  <c r="H46" i="1"/>
  <c r="G27" i="1"/>
  <c r="G46" i="1"/>
  <c r="AR20" i="1"/>
  <c r="AR45" i="1" s="1"/>
  <c r="AR42" i="1"/>
  <c r="AQ42" i="1"/>
  <c r="AQ20" i="1"/>
  <c r="AQ45" i="1" s="1"/>
  <c r="R45" i="1"/>
  <c r="R24" i="1"/>
  <c r="N24" i="1"/>
  <c r="N47" i="1" s="1"/>
  <c r="M24" i="1"/>
  <c r="M47" i="1" s="1"/>
  <c r="M45" i="1"/>
  <c r="P20" i="1"/>
  <c r="P42" i="1"/>
  <c r="L24" i="1"/>
  <c r="L47" i="1" s="1"/>
  <c r="L45" i="1"/>
  <c r="O24" i="1"/>
  <c r="O45" i="1"/>
  <c r="K24" i="1"/>
  <c r="K47" i="1" s="1"/>
  <c r="K45" i="1"/>
  <c r="AO24" i="1"/>
  <c r="AP24" i="1"/>
  <c r="H29" i="1" l="1"/>
  <c r="H48" i="1"/>
  <c r="E29" i="1"/>
  <c r="E48" i="1"/>
  <c r="F29" i="1"/>
  <c r="F48" i="1"/>
  <c r="G29" i="1"/>
  <c r="G48" i="1"/>
  <c r="I29" i="1"/>
  <c r="I48" i="1"/>
  <c r="D29" i="1"/>
  <c r="D48" i="1"/>
  <c r="O47" i="1"/>
  <c r="BG14" i="1"/>
  <c r="AU27" i="1"/>
  <c r="AT27" i="1"/>
  <c r="V45" i="1"/>
  <c r="U47" i="1"/>
  <c r="T45" i="1"/>
  <c r="BD43" i="1"/>
  <c r="AP47" i="1"/>
  <c r="AP46" i="1"/>
  <c r="AO47" i="1"/>
  <c r="AO46" i="1"/>
  <c r="R46" i="1"/>
  <c r="AS36" i="1"/>
  <c r="K27" i="1"/>
  <c r="K46" i="1"/>
  <c r="N46" i="1"/>
  <c r="N27" i="1"/>
  <c r="M46" i="1"/>
  <c r="M27" i="1"/>
  <c r="L46" i="1"/>
  <c r="L27" i="1"/>
  <c r="O27" i="1"/>
  <c r="O46" i="1"/>
  <c r="AP27" i="1"/>
  <c r="AO27" i="1"/>
  <c r="AV19" i="1"/>
  <c r="AT36" i="1"/>
  <c r="AQ24" i="1"/>
  <c r="Q29" i="1"/>
  <c r="P24" i="1"/>
  <c r="P47" i="1" s="1"/>
  <c r="P45" i="1"/>
  <c r="C29" i="1"/>
  <c r="J29" i="1"/>
  <c r="M29" i="1" l="1"/>
  <c r="M48" i="1"/>
  <c r="AU29" i="1"/>
  <c r="AU48" i="1"/>
  <c r="AO29" i="1"/>
  <c r="AO48" i="1"/>
  <c r="N29" i="1"/>
  <c r="N48" i="1"/>
  <c r="K29" i="1"/>
  <c r="K48" i="1"/>
  <c r="AP29" i="1"/>
  <c r="AP48" i="1"/>
  <c r="L29" i="1"/>
  <c r="L48" i="1"/>
  <c r="AT29" i="1"/>
  <c r="AT48" i="1"/>
  <c r="O29" i="1"/>
  <c r="O48" i="1"/>
  <c r="AR24" i="1"/>
  <c r="AW44" i="1"/>
  <c r="V46" i="1"/>
  <c r="V47" i="1"/>
  <c r="BE43" i="1"/>
  <c r="AQ47" i="1"/>
  <c r="AQ46" i="1"/>
  <c r="R27" i="1"/>
  <c r="R47" i="1"/>
  <c r="AR26" i="1"/>
  <c r="P46" i="1"/>
  <c r="P27" i="1"/>
  <c r="AQ27" i="1"/>
  <c r="AR25" i="1"/>
  <c r="AW19" i="1"/>
  <c r="AS42" i="1"/>
  <c r="AS20" i="1"/>
  <c r="AS24" i="1" s="1"/>
  <c r="AQ29" i="1" l="1"/>
  <c r="AQ48" i="1"/>
  <c r="P29" i="1"/>
  <c r="P48" i="1"/>
  <c r="R29" i="1"/>
  <c r="R48" i="1"/>
  <c r="T46" i="1"/>
  <c r="AX44" i="1"/>
  <c r="T47" i="1"/>
  <c r="BF43" i="1"/>
  <c r="BG43" i="1"/>
  <c r="AU36" i="1"/>
  <c r="AR46" i="1"/>
  <c r="AR47" i="1"/>
  <c r="AR27" i="1"/>
  <c r="AT42" i="1"/>
  <c r="AX19" i="1"/>
  <c r="AS45" i="1"/>
  <c r="AR29" i="1" l="1"/>
  <c r="AR48" i="1"/>
  <c r="AY44" i="1"/>
  <c r="AV36" i="1"/>
  <c r="AS46" i="1"/>
  <c r="AS47" i="1"/>
  <c r="AY19" i="1"/>
  <c r="AU42" i="1"/>
  <c r="AT45" i="1"/>
  <c r="AZ44" i="1" l="1"/>
  <c r="AT47" i="1"/>
  <c r="AT46" i="1"/>
  <c r="AW36" i="1"/>
  <c r="AS27" i="1"/>
  <c r="AS48" i="1" s="1"/>
  <c r="AU45" i="1"/>
  <c r="AV42" i="1"/>
  <c r="AV20" i="1"/>
  <c r="AV24" i="1" s="1"/>
  <c r="AZ19" i="1"/>
  <c r="AU47" i="1" l="1"/>
  <c r="AU46" i="1"/>
  <c r="BB19" i="1"/>
  <c r="AY36" i="1"/>
  <c r="AX36" i="1"/>
  <c r="AS29" i="1"/>
  <c r="AV45" i="1"/>
  <c r="BA19" i="1"/>
  <c r="BA44" i="1" l="1"/>
  <c r="AV47" i="1"/>
  <c r="AV46" i="1"/>
  <c r="AZ36" i="1"/>
  <c r="BB44" i="1" l="1"/>
  <c r="BC19" i="1"/>
  <c r="BA36" i="1"/>
  <c r="AV27" i="1"/>
  <c r="AV48" i="1" s="1"/>
  <c r="BC44" i="1" l="1"/>
  <c r="BD19" i="1"/>
  <c r="BB36" i="1"/>
  <c r="AV29" i="1"/>
  <c r="BD44" i="1" l="1"/>
  <c r="BE19" i="1"/>
  <c r="BE44" i="1" l="1"/>
  <c r="BF19" i="1"/>
  <c r="BC36" i="1"/>
  <c r="BG44" i="1" l="1"/>
  <c r="BF44" i="1"/>
  <c r="BG19" i="1"/>
  <c r="BD36" i="1"/>
  <c r="BE36" i="1" l="1"/>
  <c r="BF36" i="1" l="1"/>
  <c r="BG36" i="1" l="1"/>
  <c r="BE15" i="1"/>
  <c r="BE20" i="1" s="1"/>
  <c r="BE24" i="1" s="1"/>
  <c r="BA15" i="1"/>
  <c r="BA42" i="1" s="1"/>
  <c r="BF15" i="1"/>
  <c r="BF20" i="1" s="1"/>
  <c r="BF24" i="1" s="1"/>
  <c r="AX15" i="1"/>
  <c r="AX42" i="1" s="1"/>
  <c r="AW15" i="1"/>
  <c r="AW42" i="1" s="1"/>
  <c r="AY15" i="1"/>
  <c r="AY42" i="1" s="1"/>
  <c r="AZ15" i="1"/>
  <c r="AZ42" i="1" s="1"/>
  <c r="BC15" i="1"/>
  <c r="BC42" i="1" s="1"/>
  <c r="BB15" i="1"/>
  <c r="BB42" i="1" s="1"/>
  <c r="BD15" i="1"/>
  <c r="BD42" i="1" s="1"/>
  <c r="BG15" i="1"/>
  <c r="BF26" i="1" l="1"/>
  <c r="BF25" i="1"/>
  <c r="BE26" i="1"/>
  <c r="BE25" i="1"/>
  <c r="AX20" i="1"/>
  <c r="BC20" i="1"/>
  <c r="BB20" i="1"/>
  <c r="BD20" i="1"/>
  <c r="BA20" i="1"/>
  <c r="AZ20" i="1"/>
  <c r="AW20" i="1"/>
  <c r="BF42" i="1"/>
  <c r="BF45" i="1"/>
  <c r="BE45" i="1"/>
  <c r="BG20" i="1"/>
  <c r="BG24" i="1" s="1"/>
  <c r="BG42" i="1"/>
  <c r="AY20" i="1"/>
  <c r="AY24" i="1" s="1"/>
  <c r="BE42" i="1"/>
  <c r="AY26" i="1" l="1"/>
  <c r="AY25" i="1"/>
  <c r="BG26" i="1"/>
  <c r="BG25" i="1"/>
  <c r="AW45" i="1"/>
  <c r="AW24" i="1"/>
  <c r="AZ24" i="1"/>
  <c r="BD45" i="1"/>
  <c r="BD24" i="1"/>
  <c r="BA45" i="1"/>
  <c r="BA24" i="1"/>
  <c r="BB24" i="1"/>
  <c r="BC45" i="1"/>
  <c r="BC24" i="1"/>
  <c r="AX45" i="1"/>
  <c r="AX24" i="1"/>
  <c r="BB45" i="1"/>
  <c r="AZ45" i="1"/>
  <c r="AY45" i="1"/>
  <c r="BG45" i="1"/>
  <c r="BE46" i="1"/>
  <c r="BE47" i="1"/>
  <c r="BF47" i="1"/>
  <c r="BF46" i="1"/>
  <c r="AW26" i="1" l="1"/>
  <c r="AW47" i="1" s="1"/>
  <c r="AW25" i="1"/>
  <c r="AW46" i="1" s="1"/>
  <c r="AX26" i="1"/>
  <c r="AX47" i="1" s="1"/>
  <c r="AX25" i="1"/>
  <c r="AX46" i="1" s="1"/>
  <c r="AZ25" i="1"/>
  <c r="AZ46" i="1" s="1"/>
  <c r="AZ26" i="1"/>
  <c r="AZ47" i="1" s="1"/>
  <c r="BC26" i="1"/>
  <c r="BC47" i="1" s="1"/>
  <c r="BC25" i="1"/>
  <c r="BC46" i="1" s="1"/>
  <c r="BB25" i="1"/>
  <c r="BB46" i="1" s="1"/>
  <c r="BB26" i="1"/>
  <c r="BB47" i="1" s="1"/>
  <c r="BA25" i="1"/>
  <c r="BA46" i="1" s="1"/>
  <c r="BA26" i="1"/>
  <c r="BA47" i="1" s="1"/>
  <c r="BD26" i="1"/>
  <c r="BD47" i="1" s="1"/>
  <c r="BD25" i="1"/>
  <c r="BF27" i="1"/>
  <c r="AY46" i="1"/>
  <c r="AY47" i="1"/>
  <c r="BE27" i="1"/>
  <c r="BG46" i="1"/>
  <c r="BG47" i="1"/>
  <c r="BE29" i="1" l="1"/>
  <c r="BE48" i="1"/>
  <c r="BF29" i="1"/>
  <c r="BF48" i="1"/>
  <c r="AZ27" i="1"/>
  <c r="BB27" i="1"/>
  <c r="AX27" i="1"/>
  <c r="BA27" i="1"/>
  <c r="BC27" i="1"/>
  <c r="AW27" i="1"/>
  <c r="BD46" i="1"/>
  <c r="BD27" i="1"/>
  <c r="BG27" i="1"/>
  <c r="AY27" i="1"/>
  <c r="AY48" i="1" s="1"/>
  <c r="AX29" i="1" l="1"/>
  <c r="AX48" i="1"/>
  <c r="AZ29" i="1"/>
  <c r="AZ48" i="1"/>
  <c r="BA29" i="1"/>
  <c r="BA48" i="1"/>
  <c r="BB29" i="1"/>
  <c r="BB48" i="1"/>
  <c r="BG29" i="1"/>
  <c r="BG48" i="1"/>
  <c r="BD29" i="1"/>
  <c r="BD48" i="1"/>
  <c r="AW29" i="1"/>
  <c r="AW48" i="1"/>
  <c r="BC29" i="1"/>
  <c r="BC48" i="1"/>
  <c r="BH27" i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AY29" i="1"/>
  <c r="BJ32" i="1" l="1"/>
  <c r="BJ34" i="1" s="1"/>
  <c r="BJ35" i="1" s="1"/>
  <c r="BJ37" i="1" s="1"/>
</calcChain>
</file>

<file path=xl/sharedStrings.xml><?xml version="1.0" encoding="utf-8"?>
<sst xmlns="http://schemas.openxmlformats.org/spreadsheetml/2006/main" count="107" uniqueCount="102">
  <si>
    <t>Leasing</t>
  </si>
  <si>
    <t>Sales</t>
  </si>
  <si>
    <t>Energy gen &amp; storage</t>
  </si>
  <si>
    <t>Services &amp; other</t>
  </si>
  <si>
    <t xml:space="preserve">Total revenue </t>
  </si>
  <si>
    <t>Cost of sales</t>
  </si>
  <si>
    <t>Cost of leasing</t>
  </si>
  <si>
    <t>Cost of energy gen &amp; storage</t>
  </si>
  <si>
    <t>Cost of services and others</t>
  </si>
  <si>
    <t>Total cost of sales</t>
  </si>
  <si>
    <t>R&amp;D</t>
  </si>
  <si>
    <t>SG&amp;A</t>
  </si>
  <si>
    <t>Restructuring &amp; other</t>
  </si>
  <si>
    <t>Interest income</t>
  </si>
  <si>
    <t>Interest expense</t>
  </si>
  <si>
    <t>Other income (expense)</t>
  </si>
  <si>
    <t>Gross profit</t>
  </si>
  <si>
    <t>Pretax income</t>
  </si>
  <si>
    <t>Operating profit</t>
  </si>
  <si>
    <t>Operating costs</t>
  </si>
  <si>
    <t>Net income</t>
  </si>
  <si>
    <t>EPS</t>
  </si>
  <si>
    <t>Shares</t>
  </si>
  <si>
    <t>Revenue y/y</t>
  </si>
  <si>
    <t>TSLA</t>
  </si>
  <si>
    <t>Gross Margin</t>
  </si>
  <si>
    <t>Operating Margin</t>
  </si>
  <si>
    <t>Global automotive revenue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</si>
  <si>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</si>
  <si>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</si>
  <si>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</si>
  <si>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</si>
  <si>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</si>
  <si>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</si>
  <si>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</si>
  <si>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</si>
  <si>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</si>
  <si>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</si>
  <si>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</si>
  <si>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</si>
  <si>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</si>
  <si>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</si>
  <si>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Price</t>
  </si>
  <si>
    <t>MC</t>
  </si>
  <si>
    <t>Cash</t>
  </si>
  <si>
    <t>Debt</t>
  </si>
  <si>
    <t>EV</t>
  </si>
  <si>
    <t>Taxes</t>
  </si>
  <si>
    <t>Discount rate</t>
  </si>
  <si>
    <t>NPV</t>
  </si>
  <si>
    <t>Maturity</t>
  </si>
  <si>
    <t>Net cash</t>
  </si>
  <si>
    <t>Value</t>
  </si>
  <si>
    <t>Per share</t>
  </si>
  <si>
    <t>Current price</t>
  </si>
  <si>
    <t>Minority interest</t>
  </si>
  <si>
    <t>MI</t>
  </si>
  <si>
    <t>use demand for oil and EVs to calculate reduction in demand for cars</t>
  </si>
  <si>
    <t>Variance</t>
  </si>
  <si>
    <t>Last time checked</t>
  </si>
  <si>
    <t>Today</t>
  </si>
  <si>
    <t>Q320</t>
  </si>
  <si>
    <t>even with optimistic forecasts, seems overvalued</t>
  </si>
  <si>
    <t>Net Cash</t>
  </si>
  <si>
    <t>Consensus</t>
  </si>
  <si>
    <t>Earnings</t>
  </si>
  <si>
    <t>Q420</t>
  </si>
  <si>
    <t>Q121</t>
  </si>
  <si>
    <t>Q221</t>
  </si>
  <si>
    <t>Q321</t>
  </si>
  <si>
    <t>Q421</t>
  </si>
  <si>
    <t>R&amp;D y/y</t>
  </si>
  <si>
    <t>Q224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</si>
  <si>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</si>
  <si>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</si>
  <si>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</si>
  <si>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</si>
  <si>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</si>
  <si>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</si>
  <si>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</si>
  <si>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</si>
  <si>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</si>
  <si>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</si>
  <si>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</si>
  <si>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Automotive y/y</t>
  </si>
  <si>
    <t>Services y/y</t>
  </si>
  <si>
    <t>Leasing y/y</t>
  </si>
  <si>
    <t>Energy y/y</t>
  </si>
  <si>
    <t>Auto Margin</t>
  </si>
  <si>
    <t>Leasing Margin</t>
  </si>
  <si>
    <t>Energy Margin</t>
  </si>
  <si>
    <t>Services Margin</t>
  </si>
  <si>
    <t>SG&amp;A Margin</t>
  </si>
  <si>
    <t>Heavily overvalued</t>
  </si>
  <si>
    <t>Regulatory credits</t>
  </si>
  <si>
    <t>Total automotive sales</t>
  </si>
  <si>
    <t>Credits y/y</t>
  </si>
  <si>
    <t>Net Margin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</si>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</sst>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_ ;[Red]\-[$$-409]#,##0.00\ "/>
    <numFmt numFmtId="165" formatCode="[$$-409]#,##0.00"/>
    <numFmt numFmtId="166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38100</xdr:colOff>
      <xdr:row>0</xdr:row>
      <xdr:rowOff>0</xdr:rowOff>
    </xdr:from>
    <xdr:to>
      <xdr:col>35</xdr:col>
      <xdr:colOff>38100</xdr:colOff>
      <xdr:row>59</xdr:row>
      <xdr:rowOff>15240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14BEE3-0D9E-4A41-B130-28E02F5429E8}"/>
            </a:ext>
          </a:extLst>
        </xdr:cNvPr>
        <xdr:cNvCxnSpPr/>
      </xdr:nvCxnSpPr>
      <xdr:spPr>
        <a:xfrm>
          <a:off x="21701760" y="0"/>
          <a:ext cx="0" cy="10805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0</xdr:row>
      <xdr:rowOff>0</xdr:rowOff>
    </xdr:from>
    <xdr:to>
      <xdr:col>48</xdr:col>
      <xdr:colOff>30480</xdr:colOff>
      <xdr:row>58</xdr:row>
      <xdr:rowOff>45720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11B12A0-A275-499C-B640-3D627A5DCB97}"/>
            </a:ext>
          </a:extLst>
        </xdr:cNvPr>
        <xdr:cNvCxnSpPr/>
      </xdr:nvCxnSpPr>
      <xdr:spPr>
        <a:xfrm>
          <a:off x="29375100" y="0"/>
          <a:ext cx="0" cy="10652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"/>
  <sheetViews>
    <sheetView workbookViewId="0">
      <selection activeCell="D4" sqref="D4"/>
    </sheetView>
  </sheetViews>
  <sheetFormatPr defaultRowHeight="14.4" x14ac:dyDescent="0.3"/>
  <cols>
    <col min="5" max="7" width="15.77734375" style="11" customWidth="1"/>
    <col min="11" max="11" width="23.44140625" bestFit="1" customWidth="1"/>
  </cols>
  <sheetData>
    <row r="2" spans="2:13" x14ac:dyDescent="0.3">
      <c r="E2" s="11" t="s">
        <v>59</v>
      </c>
      <c r="F2" s="11" t="s">
        <v>60</v>
      </c>
      <c r="G2" s="11" t="s">
        <v>65</v>
      </c>
    </row>
    <row r="3" spans="2:13" x14ac:dyDescent="0.3">
      <c r="B3" s="3" t="s">
        <v>24</v>
      </c>
      <c r="C3" t="s">
        <v>42</v>
      </c>
      <c r="D3" s="14">
        <v>256.58999999999997</v>
      </c>
      <c r="E3" s="12">
        <v>45770</v>
      </c>
      <c r="F3" s="12">
        <f ca="1">TODAY()</f>
        <v>45771</v>
      </c>
      <c r="G3" s="12">
        <v>45867</v>
      </c>
    </row>
    <row r="4" spans="2:13" x14ac:dyDescent="0.3">
      <c r="C4" t="s">
        <v>22</v>
      </c>
      <c r="D4" s="2">
        <f>3221</f>
        <v>3221</v>
      </c>
      <c r="E4" s="11" t="s">
        <v>98</v>
      </c>
    </row>
    <row r="5" spans="2:13" x14ac:dyDescent="0.3">
      <c r="C5" t="s">
        <v>43</v>
      </c>
      <c r="D5" s="2">
        <f>D3*D4</f>
        <v>826476.3899999999</v>
      </c>
    </row>
    <row r="6" spans="2:13" x14ac:dyDescent="0.3">
      <c r="C6" t="s">
        <v>44</v>
      </c>
      <c r="D6" s="2">
        <f>16352+20644</f>
        <v>36996</v>
      </c>
      <c r="E6" s="11" t="s">
        <v>98</v>
      </c>
      <c r="L6">
        <v>2020</v>
      </c>
      <c r="M6">
        <v>2021</v>
      </c>
    </row>
    <row r="7" spans="2:13" x14ac:dyDescent="0.3">
      <c r="C7" t="s">
        <v>45</v>
      </c>
      <c r="D7" s="2">
        <f>2237+5292</f>
        <v>7529</v>
      </c>
      <c r="E7" s="11" t="s">
        <v>98</v>
      </c>
      <c r="K7" t="s">
        <v>27</v>
      </c>
    </row>
    <row r="8" spans="2:13" x14ac:dyDescent="0.3">
      <c r="C8" t="s">
        <v>63</v>
      </c>
      <c r="D8" s="2">
        <f>D6-D7</f>
        <v>29467</v>
      </c>
      <c r="M8" t="s">
        <v>57</v>
      </c>
    </row>
    <row r="9" spans="2:13" x14ac:dyDescent="0.3">
      <c r="C9" t="s">
        <v>46</v>
      </c>
      <c r="D9" s="2">
        <f>D5-D8</f>
        <v>797009.3899999999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X48"/>
  <sheetViews>
    <sheetView tabSelected="1" zoomScaleNormal="100" workbookViewId="0">
      <pane xSplit="2" ySplit="2" topLeftCell="AS24" activePane="bottomRight" state="frozen"/>
      <selection pane="topRight" activeCell="C1" sqref="C1"/>
      <selection pane="bottomLeft" activeCell="A3" sqref="A3"/>
      <selection pane="bottomRight" activeCell="BM32" sqref="BM32"/>
    </sheetView>
  </sheetViews>
  <sheetFormatPr defaultColWidth="6.6640625" defaultRowHeight="14.4" x14ac:dyDescent="0.3"/>
  <cols>
    <col min="2" max="2" width="26.88671875" bestFit="1" customWidth="1"/>
    <col min="3" max="39" width="8.5546875" customWidth="1"/>
    <col min="41" max="59" width="8.88671875" customWidth="1"/>
    <col min="61" max="61" width="11.6640625" customWidth="1"/>
    <col min="62" max="62" width="16.44140625" bestFit="1" customWidth="1"/>
  </cols>
  <sheetData>
    <row r="2" spans="2:60" x14ac:dyDescent="0.3">
      <c r="C2" s="13" t="s">
        <v>28</v>
      </c>
      <c r="D2" s="13" t="s">
        <v>29</v>
      </c>
      <c r="E2" s="13" t="s">
        <v>30</v>
      </c>
      <c r="F2" s="13" t="s">
        <v>31</v>
      </c>
      <c r="G2" s="13" t="s">
        <v>32</v>
      </c>
      <c r="H2" s="13" t="s">
        <v>33</v>
      </c>
      <c r="I2" s="13" t="s">
        <v>34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  <c r="O2" s="13" t="s">
        <v>40</v>
      </c>
      <c r="P2" s="13" t="s">
        <v>41</v>
      </c>
      <c r="Q2" s="13" t="s">
        <v>61</v>
      </c>
      <c r="R2" s="13" t="s">
        <v>66</v>
      </c>
      <c r="S2" s="13" t="s">
        <v>67</v>
      </c>
      <c r="T2" s="13" t="s">
        <v>68</v>
      </c>
      <c r="U2" s="13" t="s">
        <v>69</v>
      </c>
      <c r="V2" s="13" t="s">
        <v>70</v>
      </c>
      <c r="W2" s="13" t="s">
        <v>73</v>
      </c>
      <c r="X2" s="13" t="s">
        <v>74</v>
      </c>
      <c r="Y2" s="13" t="s">
        <v>75</v>
      </c>
      <c r="Z2" s="13" t="s">
        <v>76</v>
      </c>
      <c r="AA2" s="13" t="s">
        <v>77</v>
      </c>
      <c r="AB2" s="13" t="s">
        <v>78</v>
      </c>
      <c r="AC2" s="13" t="s">
        <v>79</v>
      </c>
      <c r="AD2" s="13" t="s">
        <v>80</v>
      </c>
      <c r="AE2" s="13" t="s">
        <v>81</v>
      </c>
      <c r="AF2" s="13" t="s">
        <v>72</v>
      </c>
      <c r="AG2" s="13" t="s">
        <v>82</v>
      </c>
      <c r="AH2" s="13" t="s">
        <v>83</v>
      </c>
      <c r="AI2" s="13" t="s">
        <v>98</v>
      </c>
      <c r="AJ2" s="13" t="s">
        <v>99</v>
      </c>
      <c r="AK2" s="13" t="s">
        <v>100</v>
      </c>
      <c r="AL2" s="13" t="s">
        <v>101</v>
      </c>
      <c r="AM2" s="13"/>
      <c r="AO2">
        <v>2017</v>
      </c>
      <c r="AP2">
        <v>2018</v>
      </c>
      <c r="AQ2">
        <v>2019</v>
      </c>
      <c r="AR2">
        <v>2020</v>
      </c>
      <c r="AS2">
        <v>2021</v>
      </c>
      <c r="AT2">
        <v>2022</v>
      </c>
      <c r="AU2">
        <v>2023</v>
      </c>
      <c r="AV2">
        <v>2024</v>
      </c>
      <c r="AW2">
        <v>2025</v>
      </c>
      <c r="AX2">
        <v>2026</v>
      </c>
      <c r="AY2">
        <v>2027</v>
      </c>
      <c r="AZ2">
        <v>2028</v>
      </c>
      <c r="BA2">
        <v>2029</v>
      </c>
      <c r="BB2">
        <v>2030</v>
      </c>
      <c r="BC2">
        <v>2031</v>
      </c>
      <c r="BD2">
        <v>2032</v>
      </c>
      <c r="BE2">
        <v>2033</v>
      </c>
      <c r="BF2">
        <v>2034</v>
      </c>
      <c r="BG2">
        <v>2035</v>
      </c>
    </row>
    <row r="3" spans="2:60" x14ac:dyDescent="0.3">
      <c r="B3" t="s">
        <v>1</v>
      </c>
      <c r="C3" s="1">
        <v>2035</v>
      </c>
      <c r="D3" s="1">
        <v>2013.8</v>
      </c>
      <c r="E3" s="1">
        <v>2076.6</v>
      </c>
      <c r="F3" s="1">
        <v>2409.1</v>
      </c>
      <c r="G3" s="1">
        <v>2561.8000000000002</v>
      </c>
      <c r="H3" s="1">
        <v>3117.8</v>
      </c>
      <c r="I3" s="1">
        <v>5878.3</v>
      </c>
      <c r="J3" s="1">
        <v>6073.4</v>
      </c>
      <c r="K3" s="1">
        <v>3509</v>
      </c>
      <c r="L3" s="1">
        <v>5168</v>
      </c>
      <c r="M3" s="1">
        <v>5132</v>
      </c>
      <c r="N3" s="1">
        <v>6143</v>
      </c>
      <c r="O3" s="1">
        <v>4893</v>
      </c>
      <c r="P3" s="1">
        <v>4911</v>
      </c>
      <c r="Q3" s="1">
        <v>7346</v>
      </c>
      <c r="R3" s="1">
        <v>9034</v>
      </c>
      <c r="S3" s="1">
        <v>8705</v>
      </c>
      <c r="T3" s="1">
        <v>9520</v>
      </c>
      <c r="U3" s="1">
        <v>11393</v>
      </c>
      <c r="V3" s="1">
        <v>15025</v>
      </c>
      <c r="W3" s="1">
        <v>15514</v>
      </c>
      <c r="X3" s="1">
        <v>13670</v>
      </c>
      <c r="Y3" s="1">
        <v>17785</v>
      </c>
      <c r="Z3" s="1">
        <v>20241</v>
      </c>
      <c r="AA3" s="1">
        <v>18878</v>
      </c>
      <c r="AB3" s="1">
        <v>20419</v>
      </c>
      <c r="AC3" s="1">
        <v>18582</v>
      </c>
      <c r="AD3" s="1">
        <v>20630</v>
      </c>
      <c r="AE3" s="1">
        <v>16460</v>
      </c>
      <c r="AF3" s="1">
        <v>18530</v>
      </c>
      <c r="AG3" s="1">
        <v>18831</v>
      </c>
      <c r="AH3" s="1">
        <v>18659</v>
      </c>
      <c r="AI3" s="1">
        <v>12925</v>
      </c>
      <c r="AJ3" s="1">
        <f>AF3*0.75</f>
        <v>13897.5</v>
      </c>
      <c r="AK3" s="1">
        <f>AG3*0.8</f>
        <v>15064.800000000001</v>
      </c>
      <c r="AL3" s="1">
        <f>AH3*0.85</f>
        <v>15860.15</v>
      </c>
      <c r="AM3" s="1"/>
      <c r="AO3" s="2">
        <f t="shared" ref="AO3:AO11" si="0">SUM(C3:F3)</f>
        <v>8534.5</v>
      </c>
      <c r="AP3" s="2">
        <f t="shared" ref="AP3:AP26" si="1">G3+H3+I3+J3</f>
        <v>17631.300000000003</v>
      </c>
      <c r="AQ3" s="2">
        <f t="shared" ref="AQ3:AQ26" si="2">K3+L3+M3+N3</f>
        <v>19952</v>
      </c>
      <c r="AR3" s="2">
        <f>O3+P3+Q3+R3</f>
        <v>26184</v>
      </c>
      <c r="AS3" s="2">
        <f t="shared" ref="AS3:AS14" si="3">SUM(S3:V3)</f>
        <v>44643</v>
      </c>
      <c r="AT3" s="2">
        <f>SUM(W3:Z3)</f>
        <v>67210</v>
      </c>
      <c r="AU3" s="2">
        <f>SUM(AA3:AD3)</f>
        <v>78509</v>
      </c>
      <c r="AV3" s="2">
        <f>SUM(AE3:AH3)</f>
        <v>72480</v>
      </c>
      <c r="AW3" s="2">
        <f>SUM(AI3:AL3)</f>
        <v>57747.450000000004</v>
      </c>
      <c r="AX3" s="2">
        <f>AW3*1.02</f>
        <v>58902.399000000005</v>
      </c>
      <c r="AY3" s="2">
        <f t="shared" ref="AY3" si="4">AX3*1.02</f>
        <v>60080.446980000008</v>
      </c>
      <c r="AZ3" s="2">
        <f>AY3*1.02</f>
        <v>61282.05591960001</v>
      </c>
      <c r="BA3" s="2">
        <f>AZ3*1.02</f>
        <v>62507.697037992009</v>
      </c>
      <c r="BB3" s="2">
        <f t="shared" ref="BB3:BG3" si="5">BA3*1.01</f>
        <v>63132.774008371933</v>
      </c>
      <c r="BC3" s="2">
        <f t="shared" si="5"/>
        <v>63764.101748455651</v>
      </c>
      <c r="BD3" s="2">
        <f t="shared" si="5"/>
        <v>64401.742765940209</v>
      </c>
      <c r="BE3" s="2">
        <f t="shared" si="5"/>
        <v>65045.760193599614</v>
      </c>
      <c r="BF3" s="2">
        <f t="shared" si="5"/>
        <v>65696.217795535616</v>
      </c>
      <c r="BG3" s="2">
        <f t="shared" si="5"/>
        <v>66353.179973490973</v>
      </c>
    </row>
    <row r="4" spans="2:60" x14ac:dyDescent="0.3">
      <c r="B4" t="s">
        <v>94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v>354</v>
      </c>
      <c r="U4" s="1">
        <v>279</v>
      </c>
      <c r="V4" s="1">
        <v>314</v>
      </c>
      <c r="W4" s="1">
        <v>679</v>
      </c>
      <c r="X4" s="1">
        <v>344</v>
      </c>
      <c r="Y4" s="1">
        <v>286</v>
      </c>
      <c r="Z4" s="1">
        <v>467</v>
      </c>
      <c r="AA4" s="1">
        <v>521</v>
      </c>
      <c r="AB4" s="1">
        <v>282</v>
      </c>
      <c r="AC4" s="1">
        <v>554</v>
      </c>
      <c r="AD4" s="1">
        <v>433</v>
      </c>
      <c r="AE4" s="1">
        <v>442</v>
      </c>
      <c r="AF4" s="1">
        <v>890</v>
      </c>
      <c r="AG4" s="1">
        <v>739</v>
      </c>
      <c r="AH4" s="1">
        <v>692</v>
      </c>
      <c r="AI4" s="1">
        <v>595</v>
      </c>
      <c r="AJ4" s="1">
        <f t="shared" ref="AJ4" si="6">AF4*0.75</f>
        <v>667.5</v>
      </c>
      <c r="AK4" s="1">
        <f t="shared" ref="AK4" si="7">AG4*0.8</f>
        <v>591.20000000000005</v>
      </c>
      <c r="AL4" s="1">
        <f t="shared" ref="AL4" si="8">AH4*0.85</f>
        <v>588.19999999999993</v>
      </c>
      <c r="AM4" s="1"/>
      <c r="AO4" s="2"/>
      <c r="AP4" s="2"/>
      <c r="AQ4" s="2"/>
      <c r="AR4" s="2"/>
      <c r="AS4" s="2"/>
      <c r="AT4" s="2">
        <f>SUM(W4:Z4)</f>
        <v>1776</v>
      </c>
      <c r="AU4" s="2">
        <f>SUM(AA4:AD4)</f>
        <v>1790</v>
      </c>
      <c r="AV4" s="2">
        <f>SUM(AE4:AH4)</f>
        <v>2763</v>
      </c>
      <c r="AW4" s="2">
        <f>SUM(AI4:AL4)</f>
        <v>2441.9</v>
      </c>
      <c r="AX4" s="2">
        <f>AW4*1.05</f>
        <v>2563.9950000000003</v>
      </c>
      <c r="AY4" s="2">
        <f>AX4*1.03</f>
        <v>2640.9148500000006</v>
      </c>
      <c r="AZ4" s="2">
        <f>AY4*1.02</f>
        <v>2693.7331470000008</v>
      </c>
      <c r="BA4" s="2">
        <f t="shared" ref="BA4:BG4" si="9">AZ4*1.02</f>
        <v>2747.6078099400011</v>
      </c>
      <c r="BB4" s="2">
        <f t="shared" si="9"/>
        <v>2802.559966138801</v>
      </c>
      <c r="BC4" s="2">
        <f t="shared" si="9"/>
        <v>2858.611165461577</v>
      </c>
      <c r="BD4" s="2">
        <f t="shared" si="9"/>
        <v>2915.7833887708084</v>
      </c>
      <c r="BE4" s="2">
        <f t="shared" si="9"/>
        <v>2974.0990565462248</v>
      </c>
      <c r="BF4" s="2">
        <f t="shared" si="9"/>
        <v>3033.5810376771492</v>
      </c>
      <c r="BG4" s="2">
        <f t="shared" si="9"/>
        <v>3094.252658430692</v>
      </c>
    </row>
    <row r="5" spans="2:60" x14ac:dyDescent="0.3">
      <c r="B5" t="s">
        <v>0</v>
      </c>
      <c r="C5" s="1">
        <v>254.5</v>
      </c>
      <c r="D5" s="1">
        <v>272.7</v>
      </c>
      <c r="E5" s="1">
        <v>286.10000000000002</v>
      </c>
      <c r="F5" s="1">
        <v>293</v>
      </c>
      <c r="G5" s="1">
        <v>173.4</v>
      </c>
      <c r="H5" s="1">
        <v>239.8</v>
      </c>
      <c r="I5" s="1">
        <v>220.4</v>
      </c>
      <c r="J5" s="1">
        <v>249.7</v>
      </c>
      <c r="K5" s="1">
        <v>215</v>
      </c>
      <c r="L5" s="1">
        <v>208</v>
      </c>
      <c r="M5" s="1">
        <v>221</v>
      </c>
      <c r="N5" s="1">
        <v>225</v>
      </c>
      <c r="O5" s="1">
        <v>239</v>
      </c>
      <c r="P5" s="1">
        <v>268</v>
      </c>
      <c r="Q5" s="1">
        <v>265</v>
      </c>
      <c r="R5" s="1">
        <v>280</v>
      </c>
      <c r="S5" s="1">
        <v>297</v>
      </c>
      <c r="T5" s="1">
        <v>332</v>
      </c>
      <c r="U5" s="1">
        <v>385</v>
      </c>
      <c r="V5" s="1">
        <v>628</v>
      </c>
      <c r="W5" s="1">
        <v>668</v>
      </c>
      <c r="X5" s="1">
        <v>588</v>
      </c>
      <c r="Y5" s="1">
        <v>621</v>
      </c>
      <c r="Z5" s="1">
        <v>599</v>
      </c>
      <c r="AA5" s="1">
        <v>564</v>
      </c>
      <c r="AB5" s="1">
        <v>567</v>
      </c>
      <c r="AC5" s="1">
        <v>489</v>
      </c>
      <c r="AD5" s="1">
        <v>500</v>
      </c>
      <c r="AE5" s="1">
        <v>476</v>
      </c>
      <c r="AF5" s="1">
        <v>458</v>
      </c>
      <c r="AG5" s="1">
        <v>446</v>
      </c>
      <c r="AH5" s="1">
        <v>447</v>
      </c>
      <c r="AI5" s="1">
        <v>447</v>
      </c>
      <c r="AJ5" s="1">
        <f t="shared" ref="AJ5:AL5" si="10">AF5*0.95</f>
        <v>435.09999999999997</v>
      </c>
      <c r="AK5" s="1">
        <f t="shared" si="10"/>
        <v>423.7</v>
      </c>
      <c r="AL5" s="1">
        <f t="shared" si="10"/>
        <v>424.65</v>
      </c>
      <c r="AM5" s="1"/>
      <c r="AO5" s="2">
        <f t="shared" si="0"/>
        <v>1106.3000000000002</v>
      </c>
      <c r="AP5" s="2">
        <f t="shared" si="1"/>
        <v>883.3</v>
      </c>
      <c r="AQ5" s="2">
        <f t="shared" si="2"/>
        <v>869</v>
      </c>
      <c r="AR5" s="2">
        <f>O5+P5+Q5+R5</f>
        <v>1052</v>
      </c>
      <c r="AS5" s="2">
        <f t="shared" si="3"/>
        <v>1642</v>
      </c>
      <c r="AT5" s="2">
        <f>SUM(W5:Z5)</f>
        <v>2476</v>
      </c>
      <c r="AU5" s="2">
        <f>SUM(AA5:AD5)</f>
        <v>2120</v>
      </c>
      <c r="AV5" s="2">
        <f>SUM(AE5:AH5)</f>
        <v>1827</v>
      </c>
      <c r="AW5" s="2">
        <f>SUM(AI5:AL5)</f>
        <v>1730.4499999999998</v>
      </c>
      <c r="AX5" s="2">
        <f t="shared" ref="AX5:BG5" si="11">AW5*0.95</f>
        <v>1643.9274999999998</v>
      </c>
      <c r="AY5" s="2">
        <f t="shared" si="11"/>
        <v>1561.7311249999998</v>
      </c>
      <c r="AZ5" s="2">
        <f t="shared" si="11"/>
        <v>1483.6445687499997</v>
      </c>
      <c r="BA5" s="2">
        <f t="shared" si="11"/>
        <v>1409.4623403124997</v>
      </c>
      <c r="BB5" s="2">
        <f t="shared" si="11"/>
        <v>1338.9892232968746</v>
      </c>
      <c r="BC5" s="2">
        <f t="shared" si="11"/>
        <v>1272.0397621320308</v>
      </c>
      <c r="BD5" s="2">
        <f t="shared" si="11"/>
        <v>1208.4377740254292</v>
      </c>
      <c r="BE5" s="2">
        <f t="shared" si="11"/>
        <v>1148.0158853241578</v>
      </c>
      <c r="BF5" s="2">
        <f t="shared" si="11"/>
        <v>1090.6150910579499</v>
      </c>
      <c r="BG5" s="2">
        <f t="shared" si="11"/>
        <v>1036.0843365050523</v>
      </c>
    </row>
    <row r="6" spans="2:60" x14ac:dyDescent="0.3">
      <c r="B6" s="3" t="s">
        <v>95</v>
      </c>
      <c r="C6" s="4">
        <f>SUM(C3:C5)</f>
        <v>2289.5</v>
      </c>
      <c r="D6" s="4">
        <f t="shared" ref="D6:AL6" si="12">SUM(D3:D5)</f>
        <v>2286.5</v>
      </c>
      <c r="E6" s="4">
        <f t="shared" si="12"/>
        <v>2362.6999999999998</v>
      </c>
      <c r="F6" s="4">
        <f t="shared" si="12"/>
        <v>2702.1</v>
      </c>
      <c r="G6" s="4">
        <f t="shared" si="12"/>
        <v>2735.2000000000003</v>
      </c>
      <c r="H6" s="4">
        <f t="shared" si="12"/>
        <v>3357.6000000000004</v>
      </c>
      <c r="I6" s="4">
        <f t="shared" si="12"/>
        <v>6098.7</v>
      </c>
      <c r="J6" s="4">
        <f t="shared" si="12"/>
        <v>6323.0999999999995</v>
      </c>
      <c r="K6" s="4">
        <f t="shared" si="12"/>
        <v>3724</v>
      </c>
      <c r="L6" s="4">
        <f t="shared" si="12"/>
        <v>5376</v>
      </c>
      <c r="M6" s="4">
        <f t="shared" si="12"/>
        <v>5353</v>
      </c>
      <c r="N6" s="4">
        <f t="shared" si="12"/>
        <v>6368</v>
      </c>
      <c r="O6" s="4">
        <f t="shared" si="12"/>
        <v>5132</v>
      </c>
      <c r="P6" s="4">
        <f t="shared" si="12"/>
        <v>5179</v>
      </c>
      <c r="Q6" s="4">
        <f t="shared" si="12"/>
        <v>7611</v>
      </c>
      <c r="R6" s="4">
        <f t="shared" si="12"/>
        <v>9314</v>
      </c>
      <c r="S6" s="4">
        <f t="shared" si="12"/>
        <v>9002</v>
      </c>
      <c r="T6" s="4">
        <f t="shared" si="12"/>
        <v>10206</v>
      </c>
      <c r="U6" s="4">
        <f t="shared" si="12"/>
        <v>12057</v>
      </c>
      <c r="V6" s="4">
        <f t="shared" si="12"/>
        <v>15967</v>
      </c>
      <c r="W6" s="4">
        <f t="shared" si="12"/>
        <v>16861</v>
      </c>
      <c r="X6" s="4">
        <f t="shared" si="12"/>
        <v>14602</v>
      </c>
      <c r="Y6" s="4">
        <f t="shared" si="12"/>
        <v>18692</v>
      </c>
      <c r="Z6" s="4">
        <f t="shared" si="12"/>
        <v>21307</v>
      </c>
      <c r="AA6" s="4">
        <f t="shared" si="12"/>
        <v>19963</v>
      </c>
      <c r="AB6" s="4">
        <f t="shared" si="12"/>
        <v>21268</v>
      </c>
      <c r="AC6" s="4">
        <f t="shared" si="12"/>
        <v>19625</v>
      </c>
      <c r="AD6" s="4">
        <f t="shared" si="12"/>
        <v>21563</v>
      </c>
      <c r="AE6" s="4">
        <f t="shared" si="12"/>
        <v>17378</v>
      </c>
      <c r="AF6" s="4">
        <f t="shared" si="12"/>
        <v>19878</v>
      </c>
      <c r="AG6" s="4">
        <f t="shared" si="12"/>
        <v>20016</v>
      </c>
      <c r="AH6" s="4">
        <f t="shared" si="12"/>
        <v>19798</v>
      </c>
      <c r="AI6" s="4">
        <f t="shared" si="12"/>
        <v>13967</v>
      </c>
      <c r="AJ6" s="4">
        <f t="shared" si="12"/>
        <v>15000.1</v>
      </c>
      <c r="AK6" s="4">
        <f t="shared" si="12"/>
        <v>16079.700000000003</v>
      </c>
      <c r="AL6" s="4">
        <f t="shared" si="12"/>
        <v>16873</v>
      </c>
      <c r="AM6" s="4"/>
      <c r="AN6" s="3"/>
      <c r="AO6" s="4">
        <f t="shared" ref="AO6" si="13">SUM(AO3:AO5)</f>
        <v>9640.7999999999993</v>
      </c>
      <c r="AP6" s="4">
        <f t="shared" ref="AP6" si="14">SUM(AP3:AP5)</f>
        <v>18514.600000000002</v>
      </c>
      <c r="AQ6" s="4">
        <f t="shared" ref="AQ6" si="15">SUM(AQ3:AQ5)</f>
        <v>20821</v>
      </c>
      <c r="AR6" s="4">
        <f t="shared" ref="AR6" si="16">SUM(AR3:AR5)</f>
        <v>27236</v>
      </c>
      <c r="AS6" s="4">
        <f t="shared" ref="AS6" si="17">SUM(AS3:AS5)</f>
        <v>46285</v>
      </c>
      <c r="AT6" s="4">
        <f t="shared" ref="AT6" si="18">SUM(AT3:AT5)</f>
        <v>71462</v>
      </c>
      <c r="AU6" s="4">
        <f t="shared" ref="AU6" si="19">SUM(AU3:AU5)</f>
        <v>82419</v>
      </c>
      <c r="AV6" s="4">
        <f t="shared" ref="AV6" si="20">SUM(AV3:AV5)</f>
        <v>77070</v>
      </c>
      <c r="AW6" s="4">
        <f t="shared" ref="AW6" si="21">SUM(AW3:AW5)</f>
        <v>61919.8</v>
      </c>
      <c r="AX6" s="4">
        <f t="shared" ref="AX6" si="22">SUM(AX3:AX5)</f>
        <v>63110.321500000005</v>
      </c>
      <c r="AY6" s="4">
        <f t="shared" ref="AY6" si="23">SUM(AY3:AY5)</f>
        <v>64283.092955000007</v>
      </c>
      <c r="AZ6" s="4">
        <f t="shared" ref="AZ6" si="24">SUM(AZ3:AZ5)</f>
        <v>65459.433635350011</v>
      </c>
      <c r="BA6" s="4">
        <f t="shared" ref="BA6" si="25">SUM(BA3:BA5)</f>
        <v>66664.767188244514</v>
      </c>
      <c r="BB6" s="4">
        <f t="shared" ref="BB6" si="26">SUM(BB3:BB5)</f>
        <v>67274.323197807607</v>
      </c>
      <c r="BC6" s="4">
        <f t="shared" ref="BC6" si="27">SUM(BC3:BC5)</f>
        <v>67894.752676049262</v>
      </c>
      <c r="BD6" s="4">
        <f t="shared" ref="BD6" si="28">SUM(BD3:BD5)</f>
        <v>68525.963928736441</v>
      </c>
      <c r="BE6" s="4">
        <f t="shared" ref="BE6" si="29">SUM(BE3:BE5)</f>
        <v>69167.875135469993</v>
      </c>
      <c r="BF6" s="4">
        <f t="shared" ref="BF6" si="30">SUM(BF3:BF5)</f>
        <v>69820.413924270717</v>
      </c>
      <c r="BG6" s="4">
        <f t="shared" ref="BG6" si="31">SUM(BG3:BG5)</f>
        <v>70483.516968426717</v>
      </c>
    </row>
    <row r="7" spans="2:60" x14ac:dyDescent="0.3">
      <c r="B7" t="s">
        <v>2</v>
      </c>
      <c r="C7" s="1">
        <v>213.9</v>
      </c>
      <c r="D7" s="1">
        <v>286.7</v>
      </c>
      <c r="E7" s="1">
        <v>317.5</v>
      </c>
      <c r="F7" s="1">
        <v>298</v>
      </c>
      <c r="G7" s="1">
        <v>410</v>
      </c>
      <c r="H7" s="1">
        <v>374</v>
      </c>
      <c r="I7" s="1">
        <v>399.3</v>
      </c>
      <c r="J7" s="1">
        <v>371.4</v>
      </c>
      <c r="K7" s="1">
        <v>324</v>
      </c>
      <c r="L7" s="1">
        <v>369</v>
      </c>
      <c r="M7" s="1">
        <v>402</v>
      </c>
      <c r="N7" s="1">
        <v>436</v>
      </c>
      <c r="O7" s="1">
        <v>293</v>
      </c>
      <c r="P7" s="1">
        <v>370</v>
      </c>
      <c r="Q7" s="1">
        <v>579</v>
      </c>
      <c r="R7" s="1">
        <v>752</v>
      </c>
      <c r="S7" s="1">
        <v>494</v>
      </c>
      <c r="T7" s="1">
        <v>801</v>
      </c>
      <c r="U7" s="1">
        <v>806</v>
      </c>
      <c r="V7" s="1">
        <v>688</v>
      </c>
      <c r="W7" s="1">
        <v>616</v>
      </c>
      <c r="X7" s="1">
        <v>866</v>
      </c>
      <c r="Y7" s="1">
        <v>1117</v>
      </c>
      <c r="Z7" s="1">
        <v>1310</v>
      </c>
      <c r="AA7" s="1">
        <v>1529</v>
      </c>
      <c r="AB7" s="1">
        <v>1509</v>
      </c>
      <c r="AC7" s="1">
        <v>1559</v>
      </c>
      <c r="AD7" s="1">
        <v>1438</v>
      </c>
      <c r="AE7" s="1">
        <v>1635</v>
      </c>
      <c r="AF7" s="1">
        <v>3014</v>
      </c>
      <c r="AG7" s="1">
        <v>2376</v>
      </c>
      <c r="AH7" s="1">
        <v>3061</v>
      </c>
      <c r="AI7" s="1">
        <v>2730</v>
      </c>
      <c r="AJ7" s="1">
        <f>AF7*0.98</f>
        <v>2953.72</v>
      </c>
      <c r="AK7" s="1">
        <f>AG7*1.3</f>
        <v>3088.8</v>
      </c>
      <c r="AL7" s="1">
        <f>AH7*1.03</f>
        <v>3152.83</v>
      </c>
      <c r="AM7" s="1"/>
      <c r="AO7" s="2">
        <f t="shared" si="0"/>
        <v>1116.0999999999999</v>
      </c>
      <c r="AP7" s="2">
        <f t="shared" si="1"/>
        <v>1554.6999999999998</v>
      </c>
      <c r="AQ7" s="2">
        <f t="shared" si="2"/>
        <v>1531</v>
      </c>
      <c r="AR7" s="2">
        <f>O7+P7+Q7+R7</f>
        <v>1994</v>
      </c>
      <c r="AS7" s="2">
        <f t="shared" si="3"/>
        <v>2789</v>
      </c>
      <c r="AT7" s="2">
        <f>SUM(W7:Z7)</f>
        <v>3909</v>
      </c>
      <c r="AU7" s="2">
        <f>SUM(AA7:AD7)</f>
        <v>6035</v>
      </c>
      <c r="AV7" s="2">
        <f>SUM(AE7:AH7)</f>
        <v>10086</v>
      </c>
      <c r="AW7" s="2">
        <f>SUM(AI7:AL7)</f>
        <v>11925.35</v>
      </c>
      <c r="AX7" s="2">
        <f>AW7*1.3</f>
        <v>15502.955000000002</v>
      </c>
      <c r="AY7" s="2">
        <f>AX7*1.25</f>
        <v>19378.693750000002</v>
      </c>
      <c r="AZ7" s="2">
        <f>AY7*1.2</f>
        <v>23254.432500000003</v>
      </c>
      <c r="BA7" s="2">
        <f>AZ7*1.15</f>
        <v>26742.597375000001</v>
      </c>
      <c r="BB7" s="2">
        <f>BA7*1.1</f>
        <v>29416.857112500005</v>
      </c>
      <c r="BC7" s="2">
        <f>BB7*1.05</f>
        <v>30887.699968125005</v>
      </c>
      <c r="BD7" s="2">
        <f t="shared" ref="BD7:BG7" si="32">BC7*1.05</f>
        <v>32432.084966531256</v>
      </c>
      <c r="BE7" s="2">
        <f t="shared" si="32"/>
        <v>34053.689214857819</v>
      </c>
      <c r="BF7" s="2">
        <f t="shared" si="32"/>
        <v>35756.373675600713</v>
      </c>
      <c r="BG7" s="2">
        <f t="shared" si="32"/>
        <v>37544.192359380751</v>
      </c>
    </row>
    <row r="8" spans="2:60" x14ac:dyDescent="0.3">
      <c r="B8" t="s">
        <v>3</v>
      </c>
      <c r="C8" s="1">
        <v>192.7</v>
      </c>
      <c r="D8" s="1">
        <v>216.1</v>
      </c>
      <c r="E8" s="1">
        <v>304.2</v>
      </c>
      <c r="F8" s="1">
        <v>288</v>
      </c>
      <c r="G8" s="1">
        <v>263.39999999999998</v>
      </c>
      <c r="H8" s="1">
        <v>270</v>
      </c>
      <c r="I8" s="1">
        <v>326.3</v>
      </c>
      <c r="J8" s="1">
        <v>531.1</v>
      </c>
      <c r="K8" s="1">
        <v>493</v>
      </c>
      <c r="L8" s="1">
        <v>605</v>
      </c>
      <c r="M8" s="1">
        <v>548</v>
      </c>
      <c r="N8" s="1">
        <v>580</v>
      </c>
      <c r="O8" s="1">
        <v>560</v>
      </c>
      <c r="P8" s="1">
        <v>487</v>
      </c>
      <c r="Q8" s="1">
        <v>581</v>
      </c>
      <c r="R8" s="1">
        <v>678</v>
      </c>
      <c r="S8" s="1">
        <v>893</v>
      </c>
      <c r="T8" s="1">
        <v>951</v>
      </c>
      <c r="U8" s="1">
        <v>894</v>
      </c>
      <c r="V8" s="1">
        <v>1064</v>
      </c>
      <c r="W8" s="1">
        <v>1279</v>
      </c>
      <c r="X8" s="1">
        <v>1466</v>
      </c>
      <c r="Y8" s="1">
        <v>1645</v>
      </c>
      <c r="Z8" s="1">
        <v>1701</v>
      </c>
      <c r="AA8" s="1">
        <v>1837</v>
      </c>
      <c r="AB8" s="1">
        <v>2150</v>
      </c>
      <c r="AC8" s="1">
        <v>2166</v>
      </c>
      <c r="AD8" s="1">
        <v>2166</v>
      </c>
      <c r="AE8" s="1">
        <v>2288</v>
      </c>
      <c r="AF8" s="1">
        <v>2608</v>
      </c>
      <c r="AG8" s="1">
        <v>2790</v>
      </c>
      <c r="AH8" s="1">
        <v>2848</v>
      </c>
      <c r="AI8" s="1">
        <v>2638</v>
      </c>
      <c r="AJ8" s="1">
        <f>AF8*1.1</f>
        <v>2868.8</v>
      </c>
      <c r="AK8" s="1">
        <f t="shared" ref="AK8:AL8" si="33">AG8*1.1</f>
        <v>3069.0000000000005</v>
      </c>
      <c r="AL8" s="1">
        <f t="shared" si="33"/>
        <v>3132.8</v>
      </c>
      <c r="AM8" s="1"/>
      <c r="AO8" s="2">
        <f t="shared" si="0"/>
        <v>1001</v>
      </c>
      <c r="AP8" s="2">
        <f t="shared" si="1"/>
        <v>1390.8000000000002</v>
      </c>
      <c r="AQ8" s="2">
        <f t="shared" si="2"/>
        <v>2226</v>
      </c>
      <c r="AR8" s="2">
        <f>O8+P8+Q8+R8</f>
        <v>2306</v>
      </c>
      <c r="AS8" s="2">
        <f t="shared" si="3"/>
        <v>3802</v>
      </c>
      <c r="AT8" s="2">
        <f>SUM(W8:Z8)</f>
        <v>6091</v>
      </c>
      <c r="AU8" s="2">
        <f>SUM(AA8:AD8)</f>
        <v>8319</v>
      </c>
      <c r="AV8" s="2">
        <f>SUM(AE8:AH8)</f>
        <v>10534</v>
      </c>
      <c r="AW8" s="2">
        <f>SUM(AI8:AL8)</f>
        <v>11708.600000000002</v>
      </c>
      <c r="AX8" s="2">
        <f>AW8*1.15</f>
        <v>13464.890000000001</v>
      </c>
      <c r="AY8" s="2">
        <f t="shared" ref="AY8:AZ8" si="34">AX8*1.15</f>
        <v>15484.6235</v>
      </c>
      <c r="AZ8" s="2">
        <f t="shared" si="34"/>
        <v>17807.317024999997</v>
      </c>
      <c r="BA8" s="2">
        <f>AZ8*1.2</f>
        <v>21368.780429999995</v>
      </c>
      <c r="BB8" s="2">
        <f t="shared" ref="BB8:BG8" si="35">BA8*1.2</f>
        <v>25642.536515999993</v>
      </c>
      <c r="BC8" s="2">
        <f t="shared" si="35"/>
        <v>30771.043819199989</v>
      </c>
      <c r="BD8" s="2">
        <f t="shared" si="35"/>
        <v>36925.252583039983</v>
      </c>
      <c r="BE8" s="2">
        <f t="shared" si="35"/>
        <v>44310.303099647979</v>
      </c>
      <c r="BF8" s="2">
        <f t="shared" si="35"/>
        <v>53172.363719577574</v>
      </c>
      <c r="BG8" s="2">
        <f t="shared" si="35"/>
        <v>63806.836463493084</v>
      </c>
    </row>
    <row r="9" spans="2:60" s="3" customFormat="1" x14ac:dyDescent="0.3">
      <c r="B9" s="3" t="s">
        <v>4</v>
      </c>
      <c r="C9" s="4">
        <f>SUM(C6:C8)</f>
        <v>2696.1</v>
      </c>
      <c r="D9" s="4">
        <f t="shared" ref="D9:AL9" si="36">SUM(D6:D8)</f>
        <v>2789.2999999999997</v>
      </c>
      <c r="E9" s="4">
        <f t="shared" si="36"/>
        <v>2984.3999999999996</v>
      </c>
      <c r="F9" s="4">
        <f t="shared" si="36"/>
        <v>3288.1</v>
      </c>
      <c r="G9" s="4">
        <f t="shared" si="36"/>
        <v>3408.6000000000004</v>
      </c>
      <c r="H9" s="4">
        <f t="shared" si="36"/>
        <v>4001.6000000000004</v>
      </c>
      <c r="I9" s="4">
        <f t="shared" si="36"/>
        <v>6824.3</v>
      </c>
      <c r="J9" s="4">
        <f t="shared" si="36"/>
        <v>7225.5999999999995</v>
      </c>
      <c r="K9" s="4">
        <f t="shared" si="36"/>
        <v>4541</v>
      </c>
      <c r="L9" s="4">
        <f t="shared" si="36"/>
        <v>6350</v>
      </c>
      <c r="M9" s="4">
        <f t="shared" si="36"/>
        <v>6303</v>
      </c>
      <c r="N9" s="4">
        <f t="shared" si="36"/>
        <v>7384</v>
      </c>
      <c r="O9" s="4">
        <f t="shared" si="36"/>
        <v>5985</v>
      </c>
      <c r="P9" s="4">
        <f t="shared" si="36"/>
        <v>6036</v>
      </c>
      <c r="Q9" s="4">
        <f t="shared" si="36"/>
        <v>8771</v>
      </c>
      <c r="R9" s="4">
        <f t="shared" si="36"/>
        <v>10744</v>
      </c>
      <c r="S9" s="4">
        <f t="shared" si="36"/>
        <v>10389</v>
      </c>
      <c r="T9" s="4">
        <f t="shared" si="36"/>
        <v>11958</v>
      </c>
      <c r="U9" s="4">
        <f t="shared" si="36"/>
        <v>13757</v>
      </c>
      <c r="V9" s="4">
        <f t="shared" si="36"/>
        <v>17719</v>
      </c>
      <c r="W9" s="4">
        <f t="shared" si="36"/>
        <v>18756</v>
      </c>
      <c r="X9" s="4">
        <f t="shared" si="36"/>
        <v>16934</v>
      </c>
      <c r="Y9" s="4">
        <f t="shared" si="36"/>
        <v>21454</v>
      </c>
      <c r="Z9" s="4">
        <f t="shared" si="36"/>
        <v>24318</v>
      </c>
      <c r="AA9" s="4">
        <f t="shared" si="36"/>
        <v>23329</v>
      </c>
      <c r="AB9" s="4">
        <f t="shared" si="36"/>
        <v>24927</v>
      </c>
      <c r="AC9" s="4">
        <f t="shared" si="36"/>
        <v>23350</v>
      </c>
      <c r="AD9" s="4">
        <f t="shared" si="36"/>
        <v>25167</v>
      </c>
      <c r="AE9" s="4">
        <f t="shared" si="36"/>
        <v>21301</v>
      </c>
      <c r="AF9" s="4">
        <f t="shared" si="36"/>
        <v>25500</v>
      </c>
      <c r="AG9" s="4">
        <f t="shared" si="36"/>
        <v>25182</v>
      </c>
      <c r="AH9" s="4">
        <f t="shared" si="36"/>
        <v>25707</v>
      </c>
      <c r="AI9" s="4">
        <f t="shared" si="36"/>
        <v>19335</v>
      </c>
      <c r="AJ9" s="4">
        <f t="shared" si="36"/>
        <v>20822.62</v>
      </c>
      <c r="AK9" s="4">
        <f t="shared" si="36"/>
        <v>22237.500000000004</v>
      </c>
      <c r="AL9" s="4">
        <f t="shared" si="36"/>
        <v>23158.63</v>
      </c>
      <c r="AM9" s="4"/>
      <c r="AO9" s="6">
        <f t="shared" si="0"/>
        <v>11757.9</v>
      </c>
      <c r="AP9" s="6">
        <f>SUM(G9:J9)</f>
        <v>21460.1</v>
      </c>
      <c r="AQ9" s="6">
        <f t="shared" si="2"/>
        <v>24578</v>
      </c>
      <c r="AR9" s="6">
        <f>O9+P9+Q9+R9</f>
        <v>31536</v>
      </c>
      <c r="AS9" s="6">
        <f t="shared" si="3"/>
        <v>53823</v>
      </c>
      <c r="AT9" s="4">
        <f t="shared" ref="AT9" si="37">SUM(AT6:AT8)</f>
        <v>81462</v>
      </c>
      <c r="AU9" s="4">
        <f t="shared" ref="AU9" si="38">SUM(AU6:AU8)</f>
        <v>96773</v>
      </c>
      <c r="AV9" s="4">
        <f t="shared" ref="AV9" si="39">SUM(AV6:AV8)</f>
        <v>97690</v>
      </c>
      <c r="AW9" s="4">
        <f t="shared" ref="AW9" si="40">SUM(AW6:AW8)</f>
        <v>85553.750000000015</v>
      </c>
      <c r="AX9" s="4">
        <f t="shared" ref="AX9" si="41">SUM(AX6:AX8)</f>
        <v>92078.166500000007</v>
      </c>
      <c r="AY9" s="4">
        <f t="shared" ref="AY9" si="42">SUM(AY6:AY8)</f>
        <v>99146.410205000007</v>
      </c>
      <c r="AZ9" s="4">
        <f t="shared" ref="AZ9" si="43">SUM(AZ6:AZ8)</f>
        <v>106521.18316035002</v>
      </c>
      <c r="BA9" s="4">
        <f t="shared" ref="BA9" si="44">SUM(BA6:BA8)</f>
        <v>114776.14499324451</v>
      </c>
      <c r="BB9" s="4">
        <f t="shared" ref="BB9" si="45">SUM(BB6:BB8)</f>
        <v>122333.7168263076</v>
      </c>
      <c r="BC9" s="4">
        <f t="shared" ref="BC9" si="46">SUM(BC6:BC8)</f>
        <v>129553.49646337425</v>
      </c>
      <c r="BD9" s="4">
        <f t="shared" ref="BD9" si="47">SUM(BD6:BD8)</f>
        <v>137883.30147830769</v>
      </c>
      <c r="BE9" s="4">
        <f t="shared" ref="BE9" si="48">SUM(BE6:BE8)</f>
        <v>147531.86744997581</v>
      </c>
      <c r="BF9" s="4">
        <f t="shared" ref="BF9" si="49">SUM(BF6:BF8)</f>
        <v>158749.15131944901</v>
      </c>
      <c r="BG9" s="4">
        <f t="shared" ref="BG9" si="50">SUM(BG6:BG8)</f>
        <v>171834.54579130057</v>
      </c>
      <c r="BH9" s="6"/>
    </row>
    <row r="10" spans="2:60" x14ac:dyDescent="0.3">
      <c r="B10" t="s">
        <v>5</v>
      </c>
      <c r="C10" s="1">
        <v>1496.6</v>
      </c>
      <c r="D10" s="1">
        <v>1472.5</v>
      </c>
      <c r="E10" s="1">
        <v>1755.6</v>
      </c>
      <c r="F10" s="1">
        <v>1999.6</v>
      </c>
      <c r="G10" s="1">
        <v>2091.3000000000002</v>
      </c>
      <c r="H10" s="1">
        <v>2529.6999999999998</v>
      </c>
      <c r="I10" s="1">
        <v>4405.8999999999996</v>
      </c>
      <c r="J10" s="1">
        <v>4658.5</v>
      </c>
      <c r="K10" s="1">
        <v>2856</v>
      </c>
      <c r="L10" s="1">
        <v>4254</v>
      </c>
      <c r="M10" s="1">
        <v>4014</v>
      </c>
      <c r="N10" s="1">
        <v>4815</v>
      </c>
      <c r="O10" s="1">
        <v>3699</v>
      </c>
      <c r="P10" s="1">
        <v>3714</v>
      </c>
      <c r="Q10" s="1">
        <v>5361</v>
      </c>
      <c r="R10" s="1">
        <v>6922</v>
      </c>
      <c r="S10" s="1">
        <v>6457</v>
      </c>
      <c r="T10" s="1">
        <v>7119</v>
      </c>
      <c r="U10" s="1">
        <v>8150</v>
      </c>
      <c r="V10" s="1">
        <v>10689</v>
      </c>
      <c r="W10" s="1">
        <v>10914</v>
      </c>
      <c r="X10" s="1">
        <v>10153</v>
      </c>
      <c r="Y10" s="1">
        <v>13099</v>
      </c>
      <c r="Z10" s="1">
        <v>15433</v>
      </c>
      <c r="AA10" s="1">
        <v>15422</v>
      </c>
      <c r="AB10" s="1">
        <v>16841</v>
      </c>
      <c r="AC10" s="1">
        <v>15656</v>
      </c>
      <c r="AD10" s="1">
        <v>17202</v>
      </c>
      <c r="AE10" s="1">
        <v>13897</v>
      </c>
      <c r="AF10" s="1">
        <v>15962</v>
      </c>
      <c r="AG10" s="1">
        <v>15743</v>
      </c>
      <c r="AH10" s="1">
        <v>16268</v>
      </c>
      <c r="AI10" s="1">
        <v>11461</v>
      </c>
      <c r="AJ10" s="1">
        <f>AJ3*0.89</f>
        <v>12368.775</v>
      </c>
      <c r="AK10" s="1">
        <f t="shared" ref="AK10:AL10" si="51">AK3*0.89</f>
        <v>13407.672</v>
      </c>
      <c r="AL10" s="1">
        <f t="shared" si="51"/>
        <v>14115.5335</v>
      </c>
      <c r="AM10" s="1"/>
      <c r="AO10" s="2">
        <f t="shared" si="0"/>
        <v>6724.2999999999993</v>
      </c>
      <c r="AP10" s="2">
        <f t="shared" si="1"/>
        <v>13685.4</v>
      </c>
      <c r="AQ10" s="2">
        <f t="shared" si="2"/>
        <v>15939</v>
      </c>
      <c r="AR10" s="2">
        <f t="shared" ref="AR10:AR26" si="52">O10+P10+Q10+R10</f>
        <v>19696</v>
      </c>
      <c r="AS10" s="2">
        <f t="shared" si="3"/>
        <v>32415</v>
      </c>
      <c r="AT10" s="2">
        <f>SUM(W10:Z10)</f>
        <v>49599</v>
      </c>
      <c r="AU10" s="2">
        <f>SUM(AA10:AD10)</f>
        <v>65121</v>
      </c>
      <c r="AV10" s="2">
        <f>SUM(AE10:AH10)</f>
        <v>61870</v>
      </c>
      <c r="AW10" s="2">
        <f t="shared" ref="AW10:AW13" si="53">SUM(AI10:AL10)</f>
        <v>51352.980499999998</v>
      </c>
      <c r="AX10" s="2">
        <f>AX3*0.84</f>
        <v>49478.015160000003</v>
      </c>
      <c r="AY10" s="2">
        <f t="shared" ref="AY10" si="54">AY3*0.84</f>
        <v>50467.575463200003</v>
      </c>
      <c r="AZ10" s="2">
        <f>AZ3*0.83</f>
        <v>50864.106413268004</v>
      </c>
      <c r="BA10" s="2">
        <f>BA3*0.83</f>
        <v>51881.388541533364</v>
      </c>
      <c r="BB10" s="2">
        <f>BB3*0.82</f>
        <v>51768.874686864983</v>
      </c>
      <c r="BC10" s="2">
        <f>BC3*0.82</f>
        <v>52286.563433733631</v>
      </c>
      <c r="BD10" s="2">
        <f>BD3*0.81</f>
        <v>52165.41164041157</v>
      </c>
      <c r="BE10" s="2">
        <f>BE3*0.81</f>
        <v>52687.065756815689</v>
      </c>
      <c r="BF10" s="2">
        <f>BF3*0.8</f>
        <v>52556.974236428498</v>
      </c>
      <c r="BG10" s="2">
        <f>BG3*0.8</f>
        <v>53082.543978792783</v>
      </c>
    </row>
    <row r="11" spans="2:60" x14ac:dyDescent="0.3">
      <c r="B11" t="s">
        <v>6</v>
      </c>
      <c r="C11" s="1">
        <v>166</v>
      </c>
      <c r="D11" s="1">
        <v>175.4</v>
      </c>
      <c r="E11" s="1">
        <v>175.2</v>
      </c>
      <c r="F11" s="1">
        <v>191.5</v>
      </c>
      <c r="G11" s="1">
        <v>104.4</v>
      </c>
      <c r="H11" s="1">
        <v>136.9</v>
      </c>
      <c r="I11" s="1">
        <v>119.2</v>
      </c>
      <c r="J11" s="1">
        <v>127.7</v>
      </c>
      <c r="K11" s="1">
        <v>117</v>
      </c>
      <c r="L11" s="1">
        <v>106</v>
      </c>
      <c r="M11" s="1">
        <v>117</v>
      </c>
      <c r="N11" s="1">
        <v>119</v>
      </c>
      <c r="O11" s="1">
        <v>122</v>
      </c>
      <c r="P11" s="1">
        <v>148</v>
      </c>
      <c r="Q11" s="1">
        <v>145</v>
      </c>
      <c r="R11" s="1">
        <v>148</v>
      </c>
      <c r="S11" s="1">
        <v>160</v>
      </c>
      <c r="T11" s="1">
        <v>188</v>
      </c>
      <c r="U11" s="1">
        <v>234</v>
      </c>
      <c r="V11" s="1">
        <v>396</v>
      </c>
      <c r="W11" s="1">
        <v>408</v>
      </c>
      <c r="X11" s="1">
        <v>368</v>
      </c>
      <c r="Y11" s="1">
        <v>381</v>
      </c>
      <c r="Z11" s="1">
        <v>352</v>
      </c>
      <c r="AA11" s="1">
        <v>333</v>
      </c>
      <c r="AB11" s="1">
        <v>338</v>
      </c>
      <c r="AC11" s="1">
        <v>301</v>
      </c>
      <c r="AD11" s="1">
        <v>296</v>
      </c>
      <c r="AE11" s="1">
        <v>269</v>
      </c>
      <c r="AF11" s="1">
        <v>245</v>
      </c>
      <c r="AG11" s="1">
        <v>247</v>
      </c>
      <c r="AH11" s="1">
        <v>242</v>
      </c>
      <c r="AI11" s="1">
        <v>239</v>
      </c>
      <c r="AJ11" s="1">
        <f t="shared" ref="AJ11:AL11" si="55">AJ5*0.53</f>
        <v>230.60299999999998</v>
      </c>
      <c r="AK11" s="1">
        <f t="shared" si="55"/>
        <v>224.56100000000001</v>
      </c>
      <c r="AL11" s="1">
        <f t="shared" si="55"/>
        <v>225.06450000000001</v>
      </c>
      <c r="AM11" s="1"/>
      <c r="AO11" s="2">
        <f t="shared" si="0"/>
        <v>708.09999999999991</v>
      </c>
      <c r="AP11" s="2">
        <f t="shared" si="1"/>
        <v>488.2</v>
      </c>
      <c r="AQ11" s="2">
        <f t="shared" si="2"/>
        <v>459</v>
      </c>
      <c r="AR11" s="2">
        <f t="shared" si="52"/>
        <v>563</v>
      </c>
      <c r="AS11" s="2">
        <f t="shared" si="3"/>
        <v>978</v>
      </c>
      <c r="AT11" s="2">
        <f>SUM(W11:Z11)</f>
        <v>1509</v>
      </c>
      <c r="AU11" s="2">
        <f>SUM(AA11:AD11)</f>
        <v>1268</v>
      </c>
      <c r="AV11" s="2">
        <f>SUM(AE11:AH11)</f>
        <v>1003</v>
      </c>
      <c r="AW11" s="2">
        <f t="shared" si="53"/>
        <v>919.22849999999994</v>
      </c>
      <c r="AX11" s="2">
        <f t="shared" ref="AX11:BG11" si="56">AX5*0.54</f>
        <v>887.72084999999993</v>
      </c>
      <c r="AY11" s="2">
        <f t="shared" si="56"/>
        <v>843.3348074999999</v>
      </c>
      <c r="AZ11" s="2">
        <f t="shared" si="56"/>
        <v>801.16806712499988</v>
      </c>
      <c r="BA11" s="2">
        <f t="shared" si="56"/>
        <v>761.1096637687499</v>
      </c>
      <c r="BB11" s="2">
        <f t="shared" si="56"/>
        <v>723.05418058031228</v>
      </c>
      <c r="BC11" s="2">
        <f t="shared" si="56"/>
        <v>686.90147155129671</v>
      </c>
      <c r="BD11" s="2">
        <f t="shared" si="56"/>
        <v>652.5563979737318</v>
      </c>
      <c r="BE11" s="2">
        <f t="shared" si="56"/>
        <v>619.92857807504527</v>
      </c>
      <c r="BF11" s="2">
        <f t="shared" si="56"/>
        <v>588.93214917129296</v>
      </c>
      <c r="BG11" s="2">
        <f t="shared" si="56"/>
        <v>559.48554171272826</v>
      </c>
    </row>
    <row r="12" spans="2:60" x14ac:dyDescent="0.3">
      <c r="B12" t="s">
        <v>7</v>
      </c>
      <c r="C12" s="1">
        <v>151.69999999999999</v>
      </c>
      <c r="D12" s="1">
        <v>203.7</v>
      </c>
      <c r="E12" s="1">
        <v>237.2</v>
      </c>
      <c r="F12" s="1">
        <v>281.7</v>
      </c>
      <c r="G12" s="1">
        <v>375.3</v>
      </c>
      <c r="H12" s="1">
        <v>330.2</v>
      </c>
      <c r="I12" s="1">
        <v>330.5</v>
      </c>
      <c r="J12" s="1">
        <v>328.7</v>
      </c>
      <c r="K12" s="1">
        <v>316</v>
      </c>
      <c r="L12" s="1">
        <v>326</v>
      </c>
      <c r="M12" s="1">
        <v>314</v>
      </c>
      <c r="N12" s="1">
        <v>385</v>
      </c>
      <c r="O12" s="1">
        <v>282</v>
      </c>
      <c r="P12" s="1">
        <v>349</v>
      </c>
      <c r="Q12" s="1">
        <v>558</v>
      </c>
      <c r="R12" s="1">
        <v>787</v>
      </c>
      <c r="S12" s="1">
        <v>595</v>
      </c>
      <c r="T12" s="1">
        <v>781</v>
      </c>
      <c r="U12" s="1">
        <v>803</v>
      </c>
      <c r="V12" s="1">
        <v>739</v>
      </c>
      <c r="W12" s="1">
        <v>688</v>
      </c>
      <c r="X12" s="1">
        <v>769</v>
      </c>
      <c r="Y12" s="1">
        <v>1013</v>
      </c>
      <c r="Z12" s="1">
        <v>1151</v>
      </c>
      <c r="AA12" s="1">
        <v>1361</v>
      </c>
      <c r="AB12" s="1">
        <v>1231</v>
      </c>
      <c r="AC12" s="1">
        <v>1178</v>
      </c>
      <c r="AD12" s="1">
        <v>1124</v>
      </c>
      <c r="AE12" s="1">
        <v>1232</v>
      </c>
      <c r="AF12" s="1">
        <v>2274</v>
      </c>
      <c r="AG12" s="1">
        <v>1651</v>
      </c>
      <c r="AH12" s="1">
        <v>2289</v>
      </c>
      <c r="AI12" s="1">
        <v>1945</v>
      </c>
      <c r="AJ12" s="1">
        <f t="shared" ref="AJ12:AL12" si="57">AJ7*0.73</f>
        <v>2156.2156</v>
      </c>
      <c r="AK12" s="1">
        <f t="shared" si="57"/>
        <v>2254.8240000000001</v>
      </c>
      <c r="AL12" s="1">
        <f t="shared" si="57"/>
        <v>2301.5659000000001</v>
      </c>
      <c r="AM12" s="1"/>
      <c r="AO12" s="2">
        <f t="shared" ref="AO12:AO26" si="58">C12+D12+E12+F12</f>
        <v>874.3</v>
      </c>
      <c r="AP12" s="2">
        <f t="shared" si="1"/>
        <v>1364.7</v>
      </c>
      <c r="AQ12" s="2">
        <f t="shared" si="2"/>
        <v>1341</v>
      </c>
      <c r="AR12" s="2">
        <f t="shared" si="52"/>
        <v>1976</v>
      </c>
      <c r="AS12" s="2">
        <f t="shared" si="3"/>
        <v>2918</v>
      </c>
      <c r="AT12" s="2">
        <f>SUM(W12:Z12)</f>
        <v>3621</v>
      </c>
      <c r="AU12" s="2">
        <f>SUM(AA12:AD12)</f>
        <v>4894</v>
      </c>
      <c r="AV12" s="2">
        <f>SUM(AE12:AH12)</f>
        <v>7446</v>
      </c>
      <c r="AW12" s="2">
        <f t="shared" si="53"/>
        <v>8657.6054999999997</v>
      </c>
      <c r="AX12" s="2">
        <f>AX7*0.7</f>
        <v>10852.068500000001</v>
      </c>
      <c r="AY12" s="2">
        <f t="shared" ref="AY12:BG12" si="59">AY7*0.7</f>
        <v>13565.085625000002</v>
      </c>
      <c r="AZ12" s="2">
        <f t="shared" si="59"/>
        <v>16278.10275</v>
      </c>
      <c r="BA12" s="2">
        <f t="shared" si="59"/>
        <v>18719.8181625</v>
      </c>
      <c r="BB12" s="2">
        <f t="shared" si="59"/>
        <v>20591.799978750001</v>
      </c>
      <c r="BC12" s="2">
        <f t="shared" si="59"/>
        <v>21621.389977687504</v>
      </c>
      <c r="BD12" s="2">
        <f t="shared" si="59"/>
        <v>22702.459476571879</v>
      </c>
      <c r="BE12" s="2">
        <f t="shared" si="59"/>
        <v>23837.58245040047</v>
      </c>
      <c r="BF12" s="2">
        <f t="shared" si="59"/>
        <v>25029.461572920496</v>
      </c>
      <c r="BG12" s="2">
        <f t="shared" si="59"/>
        <v>26280.934651566524</v>
      </c>
    </row>
    <row r="13" spans="2:60" x14ac:dyDescent="0.3">
      <c r="B13" t="s">
        <v>8</v>
      </c>
      <c r="C13" s="1">
        <v>213.8</v>
      </c>
      <c r="D13" s="1">
        <v>271.10000000000002</v>
      </c>
      <c r="E13" s="1">
        <v>367.4</v>
      </c>
      <c r="F13" s="1">
        <v>376.5</v>
      </c>
      <c r="G13" s="1">
        <v>380.9</v>
      </c>
      <c r="H13" s="1">
        <v>386.3</v>
      </c>
      <c r="I13" s="1">
        <v>444.9</v>
      </c>
      <c r="J13" s="1">
        <v>668</v>
      </c>
      <c r="K13" s="1">
        <v>686</v>
      </c>
      <c r="L13" s="1">
        <v>743</v>
      </c>
      <c r="M13" s="1">
        <v>667</v>
      </c>
      <c r="N13" s="1">
        <v>674</v>
      </c>
      <c r="O13" s="1">
        <v>648</v>
      </c>
      <c r="P13" s="1">
        <v>558</v>
      </c>
      <c r="Q13" s="1">
        <v>644</v>
      </c>
      <c r="R13" s="1">
        <v>821</v>
      </c>
      <c r="S13" s="1">
        <v>962</v>
      </c>
      <c r="T13" s="1">
        <v>986</v>
      </c>
      <c r="U13" s="1">
        <v>910</v>
      </c>
      <c r="V13" s="1">
        <v>1048</v>
      </c>
      <c r="W13" s="1">
        <v>1286</v>
      </c>
      <c r="X13" s="1">
        <v>1410</v>
      </c>
      <c r="Y13" s="1">
        <v>1579</v>
      </c>
      <c r="Z13" s="1">
        <v>1605</v>
      </c>
      <c r="AA13" s="1">
        <v>1702</v>
      </c>
      <c r="AB13" s="1">
        <v>1984</v>
      </c>
      <c r="AC13" s="1">
        <v>2037</v>
      </c>
      <c r="AD13" s="1">
        <v>2107</v>
      </c>
      <c r="AE13" s="1">
        <v>2207</v>
      </c>
      <c r="AF13" s="1">
        <v>2441</v>
      </c>
      <c r="AG13" s="1">
        <v>2544</v>
      </c>
      <c r="AH13" s="1">
        <v>2729</v>
      </c>
      <c r="AI13" s="1">
        <v>2537</v>
      </c>
      <c r="AJ13" s="1">
        <f t="shared" ref="AJ13:AL13" si="60">AJ8*0.94</f>
        <v>2696.672</v>
      </c>
      <c r="AK13" s="1">
        <f t="shared" si="60"/>
        <v>2884.86</v>
      </c>
      <c r="AL13" s="1">
        <f t="shared" si="60"/>
        <v>2944.8319999999999</v>
      </c>
      <c r="AM13" s="1"/>
      <c r="AO13" s="2">
        <f t="shared" si="58"/>
        <v>1228.8</v>
      </c>
      <c r="AP13" s="2">
        <f t="shared" si="1"/>
        <v>1880.1</v>
      </c>
      <c r="AQ13" s="2">
        <f t="shared" si="2"/>
        <v>2770</v>
      </c>
      <c r="AR13" s="2">
        <f t="shared" si="52"/>
        <v>2671</v>
      </c>
      <c r="AS13" s="2">
        <f t="shared" si="3"/>
        <v>3906</v>
      </c>
      <c r="AT13" s="2">
        <f>SUM(W13:Z13)</f>
        <v>5880</v>
      </c>
      <c r="AU13" s="2">
        <f>SUM(AA13:AD13)</f>
        <v>7830</v>
      </c>
      <c r="AV13" s="2">
        <f>SUM(AE13:AH13)</f>
        <v>9921</v>
      </c>
      <c r="AW13" s="2">
        <f t="shared" si="53"/>
        <v>11063.364000000001</v>
      </c>
      <c r="AX13" s="2">
        <f t="shared" ref="AX13:AZ13" si="61">AX8*0.94</f>
        <v>12656.9966</v>
      </c>
      <c r="AY13" s="2">
        <f t="shared" si="61"/>
        <v>14555.546089999998</v>
      </c>
      <c r="AZ13" s="2">
        <f t="shared" si="61"/>
        <v>16738.878003499995</v>
      </c>
      <c r="BA13" s="2">
        <f>BA8*0.92</f>
        <v>19659.277995599998</v>
      </c>
      <c r="BB13" s="2">
        <f>BB8*0.9</f>
        <v>23078.282864399993</v>
      </c>
      <c r="BC13" s="2">
        <f>BC8*0.88</f>
        <v>27078.518560895991</v>
      </c>
      <c r="BD13" s="2">
        <f>BD8*0.87</f>
        <v>32124.969747244784</v>
      </c>
      <c r="BE13" s="2">
        <f>BE8*0.86</f>
        <v>38106.860665697262</v>
      </c>
      <c r="BF13" s="2">
        <f>BF8*0.85</f>
        <v>45196.509161640934</v>
      </c>
      <c r="BG13" s="2">
        <f>BG8*0.85</f>
        <v>54235.81099396912</v>
      </c>
    </row>
    <row r="14" spans="2:60" s="3" customFormat="1" x14ac:dyDescent="0.3">
      <c r="B14" s="3" t="s">
        <v>9</v>
      </c>
      <c r="C14" s="4">
        <f t="shared" ref="C14:E14" si="62">C10+C11+C12+C13</f>
        <v>2028.1</v>
      </c>
      <c r="D14" s="4">
        <f t="shared" si="62"/>
        <v>2122.7000000000003</v>
      </c>
      <c r="E14" s="4">
        <f t="shared" si="62"/>
        <v>2535.4</v>
      </c>
      <c r="F14" s="4">
        <f t="shared" ref="F14:I14" si="63">F10+F11+F12+F13</f>
        <v>2849.2999999999997</v>
      </c>
      <c r="G14" s="4">
        <f t="shared" si="63"/>
        <v>2951.9000000000005</v>
      </c>
      <c r="H14" s="4">
        <f t="shared" si="63"/>
        <v>3383.1</v>
      </c>
      <c r="I14" s="4">
        <f t="shared" si="63"/>
        <v>5300.4999999999991</v>
      </c>
      <c r="J14" s="4">
        <f t="shared" ref="J14:T14" si="64">J10+J11+J12+J13</f>
        <v>5782.9</v>
      </c>
      <c r="K14" s="4">
        <f t="shared" si="64"/>
        <v>3975</v>
      </c>
      <c r="L14" s="4">
        <f t="shared" si="64"/>
        <v>5429</v>
      </c>
      <c r="M14" s="4">
        <f t="shared" si="64"/>
        <v>5112</v>
      </c>
      <c r="N14" s="4">
        <f t="shared" si="64"/>
        <v>5993</v>
      </c>
      <c r="O14" s="4">
        <f t="shared" si="64"/>
        <v>4751</v>
      </c>
      <c r="P14" s="4">
        <f t="shared" si="64"/>
        <v>4769</v>
      </c>
      <c r="Q14" s="4">
        <f t="shared" si="64"/>
        <v>6708</v>
      </c>
      <c r="R14" s="4">
        <f t="shared" si="64"/>
        <v>8678</v>
      </c>
      <c r="S14" s="4">
        <f t="shared" si="64"/>
        <v>8174</v>
      </c>
      <c r="T14" s="4">
        <f t="shared" si="64"/>
        <v>9074</v>
      </c>
      <c r="U14" s="4">
        <f t="shared" ref="U14:V14" si="65">U10+U11+U12+U13</f>
        <v>10097</v>
      </c>
      <c r="V14" s="4">
        <f t="shared" si="65"/>
        <v>12872</v>
      </c>
      <c r="W14" s="4">
        <f t="shared" ref="W14" si="66">W10+W11+W12+W13</f>
        <v>13296</v>
      </c>
      <c r="X14" s="4">
        <f t="shared" ref="X14" si="67">X10+X11+X12+X13</f>
        <v>12700</v>
      </c>
      <c r="Y14" s="4">
        <f t="shared" ref="Y14" si="68">Y10+Y11+Y12+Y13</f>
        <v>16072</v>
      </c>
      <c r="Z14" s="4">
        <f t="shared" ref="Z14" si="69">Z10+Z11+Z12+Z13</f>
        <v>18541</v>
      </c>
      <c r="AA14" s="4">
        <f t="shared" ref="AA14" si="70">AA10+AA11+AA12+AA13</f>
        <v>18818</v>
      </c>
      <c r="AB14" s="4">
        <f t="shared" ref="AB14:AC14" si="71">AB10+AB11+AB12+AB13</f>
        <v>20394</v>
      </c>
      <c r="AC14" s="4">
        <f t="shared" si="71"/>
        <v>19172</v>
      </c>
      <c r="AD14" s="4">
        <f t="shared" ref="AD14:AE14" si="72">AD10+AD11+AD12+AD13</f>
        <v>20729</v>
      </c>
      <c r="AE14" s="4">
        <f t="shared" si="72"/>
        <v>17605</v>
      </c>
      <c r="AF14" s="4">
        <f t="shared" ref="AF14:AH14" si="73">AF10+AF11+AF12+AF13</f>
        <v>20922</v>
      </c>
      <c r="AG14" s="4">
        <f t="shared" si="73"/>
        <v>20185</v>
      </c>
      <c r="AH14" s="4">
        <f t="shared" si="73"/>
        <v>21528</v>
      </c>
      <c r="AI14" s="4">
        <f t="shared" ref="AI14:AL14" si="74">AI10+AI11+AI12+AI13</f>
        <v>16182</v>
      </c>
      <c r="AJ14" s="4">
        <f t="shared" si="74"/>
        <v>17452.265599999999</v>
      </c>
      <c r="AK14" s="4">
        <f t="shared" si="74"/>
        <v>18771.917000000001</v>
      </c>
      <c r="AL14" s="4">
        <f t="shared" si="74"/>
        <v>19586.995899999998</v>
      </c>
      <c r="AM14" s="4"/>
      <c r="AO14" s="6">
        <f t="shared" si="58"/>
        <v>9535.5</v>
      </c>
      <c r="AP14" s="6">
        <f t="shared" si="1"/>
        <v>17418.400000000001</v>
      </c>
      <c r="AQ14" s="6">
        <f t="shared" si="2"/>
        <v>20509</v>
      </c>
      <c r="AR14" s="6">
        <f t="shared" si="52"/>
        <v>24906</v>
      </c>
      <c r="AS14" s="6">
        <f t="shared" si="3"/>
        <v>40217</v>
      </c>
      <c r="AT14" s="6">
        <f>AT10+AT11+AT12+AT13</f>
        <v>60609</v>
      </c>
      <c r="AU14" s="6">
        <f>AU10+AU11+AU12+AU13</f>
        <v>79113</v>
      </c>
      <c r="AV14" s="6">
        <f>SUM(AV10:AV13)</f>
        <v>80240</v>
      </c>
      <c r="AW14" s="6">
        <f t="shared" ref="AW14:BG14" si="75">SUM(AW10:AW13)</f>
        <v>71993.178499999995</v>
      </c>
      <c r="AX14" s="6">
        <f t="shared" si="75"/>
        <v>73874.80111</v>
      </c>
      <c r="AY14" s="6">
        <f t="shared" si="75"/>
        <v>79431.541985700009</v>
      </c>
      <c r="AZ14" s="6">
        <f t="shared" si="75"/>
        <v>84682.255233892996</v>
      </c>
      <c r="BA14" s="6">
        <f t="shared" si="75"/>
        <v>91021.594363402124</v>
      </c>
      <c r="BB14" s="6">
        <f t="shared" si="75"/>
        <v>96162.011710595296</v>
      </c>
      <c r="BC14" s="6">
        <f t="shared" si="75"/>
        <v>101673.37344386842</v>
      </c>
      <c r="BD14" s="6">
        <f t="shared" si="75"/>
        <v>107645.39726220196</v>
      </c>
      <c r="BE14" s="6">
        <f t="shared" si="75"/>
        <v>115251.43745098845</v>
      </c>
      <c r="BF14" s="6">
        <f t="shared" si="75"/>
        <v>123371.87712016121</v>
      </c>
      <c r="BG14" s="6">
        <f t="shared" si="75"/>
        <v>134158.77516604116</v>
      </c>
    </row>
    <row r="15" spans="2:60" s="3" customFormat="1" x14ac:dyDescent="0.3">
      <c r="B15" s="3" t="s">
        <v>16</v>
      </c>
      <c r="C15" s="4">
        <f t="shared" ref="C15:E15" si="76">C9-C14</f>
        <v>668</v>
      </c>
      <c r="D15" s="4">
        <f t="shared" si="76"/>
        <v>666.59999999999945</v>
      </c>
      <c r="E15" s="4">
        <f t="shared" si="76"/>
        <v>448.99999999999955</v>
      </c>
      <c r="F15" s="4">
        <f t="shared" ref="F15:I15" si="77">F9-F14</f>
        <v>438.80000000000018</v>
      </c>
      <c r="G15" s="4">
        <f t="shared" si="77"/>
        <v>456.69999999999982</v>
      </c>
      <c r="H15" s="4">
        <f t="shared" si="77"/>
        <v>618.50000000000045</v>
      </c>
      <c r="I15" s="4">
        <f t="shared" si="77"/>
        <v>1523.8000000000011</v>
      </c>
      <c r="J15" s="4">
        <f t="shared" ref="J15:T15" si="78">J9-J14</f>
        <v>1442.6999999999998</v>
      </c>
      <c r="K15" s="4">
        <f t="shared" si="78"/>
        <v>566</v>
      </c>
      <c r="L15" s="4">
        <f t="shared" si="78"/>
        <v>921</v>
      </c>
      <c r="M15" s="4">
        <f t="shared" si="78"/>
        <v>1191</v>
      </c>
      <c r="N15" s="4">
        <f t="shared" si="78"/>
        <v>1391</v>
      </c>
      <c r="O15" s="4">
        <f t="shared" si="78"/>
        <v>1234</v>
      </c>
      <c r="P15" s="4">
        <f t="shared" si="78"/>
        <v>1267</v>
      </c>
      <c r="Q15" s="4">
        <f t="shared" si="78"/>
        <v>2063</v>
      </c>
      <c r="R15" s="4">
        <f t="shared" si="78"/>
        <v>2066</v>
      </c>
      <c r="S15" s="4">
        <f t="shared" si="78"/>
        <v>2215</v>
      </c>
      <c r="T15" s="4">
        <f t="shared" si="78"/>
        <v>2884</v>
      </c>
      <c r="U15" s="4">
        <f t="shared" ref="U15:V15" si="79">U9-U14</f>
        <v>3660</v>
      </c>
      <c r="V15" s="4">
        <f t="shared" si="79"/>
        <v>4847</v>
      </c>
      <c r="W15" s="4">
        <f t="shared" ref="W15" si="80">W9-W14</f>
        <v>5460</v>
      </c>
      <c r="X15" s="4">
        <f t="shared" ref="X15" si="81">X9-X14</f>
        <v>4234</v>
      </c>
      <c r="Y15" s="4">
        <f t="shared" ref="Y15" si="82">Y9-Y14</f>
        <v>5382</v>
      </c>
      <c r="Z15" s="4">
        <f t="shared" ref="Z15" si="83">Z9-Z14</f>
        <v>5777</v>
      </c>
      <c r="AA15" s="4">
        <f t="shared" ref="AA15" si="84">AA9-AA14</f>
        <v>4511</v>
      </c>
      <c r="AB15" s="4">
        <f t="shared" ref="AB15:AC15" si="85">AB9-AB14</f>
        <v>4533</v>
      </c>
      <c r="AC15" s="4">
        <f t="shared" si="85"/>
        <v>4178</v>
      </c>
      <c r="AD15" s="4">
        <f t="shared" ref="AD15:AE15" si="86">AD9-AD14</f>
        <v>4438</v>
      </c>
      <c r="AE15" s="4">
        <f t="shared" si="86"/>
        <v>3696</v>
      </c>
      <c r="AF15" s="4">
        <f t="shared" ref="AF15:AH15" si="87">AF9-AF14</f>
        <v>4578</v>
      </c>
      <c r="AG15" s="4">
        <f t="shared" si="87"/>
        <v>4997</v>
      </c>
      <c r="AH15" s="4">
        <f t="shared" si="87"/>
        <v>4179</v>
      </c>
      <c r="AI15" s="4">
        <f t="shared" ref="AI15:AL15" si="88">AI9-AI14</f>
        <v>3153</v>
      </c>
      <c r="AJ15" s="4">
        <f t="shared" si="88"/>
        <v>3370.3544000000002</v>
      </c>
      <c r="AK15" s="4">
        <f t="shared" si="88"/>
        <v>3465.5830000000024</v>
      </c>
      <c r="AL15" s="4">
        <f t="shared" si="88"/>
        <v>3571.6341000000029</v>
      </c>
      <c r="AM15" s="4"/>
      <c r="AO15" s="6">
        <f>AO9-AO14</f>
        <v>2222.3999999999996</v>
      </c>
      <c r="AP15" s="6">
        <f>AP9-AP14</f>
        <v>4041.6999999999971</v>
      </c>
      <c r="AQ15" s="6">
        <f>AQ9-AQ14</f>
        <v>4069</v>
      </c>
      <c r="AR15" s="6">
        <f t="shared" si="52"/>
        <v>6630</v>
      </c>
      <c r="AS15" s="6">
        <f>AS9-AS14</f>
        <v>13606</v>
      </c>
      <c r="AT15" s="6">
        <f>AT9-AT14</f>
        <v>20853</v>
      </c>
      <c r="AU15" s="6">
        <f>AU9-AU14</f>
        <v>17660</v>
      </c>
      <c r="AV15" s="6">
        <f>AV9-AV14</f>
        <v>17450</v>
      </c>
      <c r="AW15" s="6">
        <f>AW9-AW14</f>
        <v>13560.57150000002</v>
      </c>
      <c r="AX15" s="6">
        <f t="shared" ref="AX15:BG15" si="89">AX9-AX14</f>
        <v>18203.365390000006</v>
      </c>
      <c r="AY15" s="6">
        <f t="shared" si="89"/>
        <v>19714.868219299999</v>
      </c>
      <c r="AZ15" s="6">
        <f t="shared" si="89"/>
        <v>21838.927926457021</v>
      </c>
      <c r="BA15" s="6">
        <f t="shared" si="89"/>
        <v>23754.550629842386</v>
      </c>
      <c r="BB15" s="6">
        <f t="shared" si="89"/>
        <v>26171.705115712306</v>
      </c>
      <c r="BC15" s="6">
        <f t="shared" si="89"/>
        <v>27880.123019505831</v>
      </c>
      <c r="BD15" s="6">
        <f t="shared" si="89"/>
        <v>30237.90421610573</v>
      </c>
      <c r="BE15" s="6">
        <f t="shared" si="89"/>
        <v>32280.429998987354</v>
      </c>
      <c r="BF15" s="6">
        <f t="shared" si="89"/>
        <v>35377.2741992878</v>
      </c>
      <c r="BG15" s="6">
        <f t="shared" si="89"/>
        <v>37675.770625259407</v>
      </c>
    </row>
    <row r="16" spans="2:60" x14ac:dyDescent="0.3">
      <c r="B16" t="s">
        <v>10</v>
      </c>
      <c r="C16" s="1">
        <v>322</v>
      </c>
      <c r="D16" s="1">
        <v>369.7</v>
      </c>
      <c r="E16" s="1">
        <v>331.6</v>
      </c>
      <c r="F16" s="1">
        <v>354.6</v>
      </c>
      <c r="G16" s="1">
        <v>367</v>
      </c>
      <c r="H16" s="1">
        <v>386.1</v>
      </c>
      <c r="I16" s="1">
        <v>350.8</v>
      </c>
      <c r="J16" s="1">
        <v>356.2</v>
      </c>
      <c r="K16" s="1">
        <v>340</v>
      </c>
      <c r="L16" s="1">
        <v>324</v>
      </c>
      <c r="M16" s="1">
        <v>334</v>
      </c>
      <c r="N16" s="1">
        <v>345</v>
      </c>
      <c r="O16" s="1">
        <v>324</v>
      </c>
      <c r="P16" s="1">
        <v>279</v>
      </c>
      <c r="Q16" s="1">
        <v>366</v>
      </c>
      <c r="R16" s="1">
        <v>522</v>
      </c>
      <c r="S16" s="1">
        <v>666</v>
      </c>
      <c r="T16" s="1">
        <v>576</v>
      </c>
      <c r="U16" s="1">
        <v>611</v>
      </c>
      <c r="V16" s="1">
        <v>740</v>
      </c>
      <c r="W16" s="1">
        <v>865</v>
      </c>
      <c r="X16" s="1">
        <v>667</v>
      </c>
      <c r="Y16" s="1">
        <v>733</v>
      </c>
      <c r="Z16" s="1">
        <v>810</v>
      </c>
      <c r="AA16" s="1">
        <v>771</v>
      </c>
      <c r="AB16" s="1">
        <v>943</v>
      </c>
      <c r="AC16" s="1">
        <v>1161</v>
      </c>
      <c r="AD16" s="1">
        <v>1094</v>
      </c>
      <c r="AE16" s="1">
        <v>1151</v>
      </c>
      <c r="AF16" s="1">
        <v>1074</v>
      </c>
      <c r="AG16" s="1">
        <v>1039</v>
      </c>
      <c r="AH16" s="1">
        <v>1276</v>
      </c>
      <c r="AI16" s="1">
        <v>1409</v>
      </c>
      <c r="AJ16" s="1">
        <f t="shared" ref="AJ16:AK16" si="90">AF16*1.15</f>
        <v>1235.0999999999999</v>
      </c>
      <c r="AK16" s="1">
        <f t="shared" si="90"/>
        <v>1194.8499999999999</v>
      </c>
      <c r="AL16" s="1">
        <f>AH16*1.1</f>
        <v>1403.6000000000001</v>
      </c>
      <c r="AM16" s="1"/>
      <c r="AO16" s="2">
        <f t="shared" si="58"/>
        <v>1377.9</v>
      </c>
      <c r="AP16" s="2">
        <f t="shared" si="1"/>
        <v>1460.1000000000001</v>
      </c>
      <c r="AQ16" s="2">
        <f t="shared" si="2"/>
        <v>1343</v>
      </c>
      <c r="AR16" s="2">
        <f t="shared" si="52"/>
        <v>1491</v>
      </c>
      <c r="AS16" s="2">
        <f>SUM(S16:V16)</f>
        <v>2593</v>
      </c>
      <c r="AT16" s="2">
        <f>SUM(W16:Z16)</f>
        <v>3075</v>
      </c>
      <c r="AU16" s="2">
        <f>SUM(AA16:AD16)</f>
        <v>3969</v>
      </c>
      <c r="AV16" s="2">
        <f>SUM(AE16:AH16)</f>
        <v>4540</v>
      </c>
      <c r="AW16" s="2">
        <f>AV16*1.09</f>
        <v>4948.6000000000004</v>
      </c>
      <c r="AX16" s="2">
        <f>AW16*1.07</f>
        <v>5295.0020000000004</v>
      </c>
      <c r="AY16" s="2">
        <f>AX16*1.05</f>
        <v>5559.7521000000006</v>
      </c>
      <c r="AZ16" s="2">
        <f>AY16*1.04</f>
        <v>5782.1421840000012</v>
      </c>
      <c r="BA16" s="2">
        <f>AZ16*1.03</f>
        <v>5955.6064495200017</v>
      </c>
      <c r="BB16" s="2">
        <f t="shared" ref="BB16:BG16" si="91">BA16*1.03</f>
        <v>6134.2746430056022</v>
      </c>
      <c r="BC16" s="2">
        <f t="shared" si="91"/>
        <v>6318.3028822957704</v>
      </c>
      <c r="BD16" s="2">
        <f t="shared" si="91"/>
        <v>6507.851968764644</v>
      </c>
      <c r="BE16" s="2">
        <f t="shared" si="91"/>
        <v>6703.0875278275835</v>
      </c>
      <c r="BF16" s="2">
        <f t="shared" si="91"/>
        <v>6904.1801536624107</v>
      </c>
      <c r="BG16" s="2">
        <f t="shared" si="91"/>
        <v>7111.3055582722836</v>
      </c>
    </row>
    <row r="17" spans="1:180" x14ac:dyDescent="0.3">
      <c r="B17" t="s">
        <v>11</v>
      </c>
      <c r="C17" s="1">
        <v>603.4</v>
      </c>
      <c r="D17" s="1">
        <v>537.70000000000005</v>
      </c>
      <c r="E17" s="1">
        <v>652.9</v>
      </c>
      <c r="F17" s="1">
        <v>682.2</v>
      </c>
      <c r="G17" s="1">
        <v>686.4</v>
      </c>
      <c r="H17" s="1">
        <v>750.7</v>
      </c>
      <c r="I17" s="1">
        <v>729.8</v>
      </c>
      <c r="J17" s="1">
        <v>667.4</v>
      </c>
      <c r="K17" s="1">
        <v>704</v>
      </c>
      <c r="L17" s="1">
        <v>647</v>
      </c>
      <c r="M17" s="1">
        <v>596</v>
      </c>
      <c r="N17" s="1">
        <v>699</v>
      </c>
      <c r="O17" s="1">
        <v>627</v>
      </c>
      <c r="P17" s="1">
        <v>661</v>
      </c>
      <c r="Q17" s="1">
        <v>888</v>
      </c>
      <c r="R17" s="1">
        <v>969</v>
      </c>
      <c r="S17" s="1">
        <v>1056</v>
      </c>
      <c r="T17" s="1">
        <v>973</v>
      </c>
      <c r="U17" s="1">
        <v>994</v>
      </c>
      <c r="V17" s="1">
        <v>1494</v>
      </c>
      <c r="W17" s="1">
        <v>992</v>
      </c>
      <c r="X17" s="1">
        <v>961</v>
      </c>
      <c r="Y17" s="1">
        <v>961</v>
      </c>
      <c r="Z17" s="1">
        <v>1032</v>
      </c>
      <c r="AA17" s="1">
        <v>1076</v>
      </c>
      <c r="AB17" s="1">
        <v>1191</v>
      </c>
      <c r="AC17" s="1">
        <v>1253</v>
      </c>
      <c r="AD17" s="1">
        <v>1280</v>
      </c>
      <c r="AE17" s="1">
        <v>1374</v>
      </c>
      <c r="AF17" s="1">
        <v>1277</v>
      </c>
      <c r="AG17" s="1">
        <v>1186</v>
      </c>
      <c r="AH17" s="1">
        <v>1313</v>
      </c>
      <c r="AI17" s="1">
        <v>1251</v>
      </c>
      <c r="AJ17" s="1">
        <f t="shared" ref="AJ17:AL17" si="92">AJ9*0.05</f>
        <v>1041.1310000000001</v>
      </c>
      <c r="AK17" s="1">
        <f t="shared" si="92"/>
        <v>1111.8750000000002</v>
      </c>
      <c r="AL17" s="1">
        <f t="shared" si="92"/>
        <v>1157.9315000000001</v>
      </c>
      <c r="AM17" s="1"/>
      <c r="AO17" s="2">
        <f t="shared" si="58"/>
        <v>2476.1999999999998</v>
      </c>
      <c r="AP17" s="2">
        <f t="shared" si="1"/>
        <v>2834.2999999999997</v>
      </c>
      <c r="AQ17" s="2">
        <f t="shared" si="2"/>
        <v>2646</v>
      </c>
      <c r="AR17" s="2">
        <f t="shared" si="52"/>
        <v>3145</v>
      </c>
      <c r="AS17" s="2">
        <f>SUM(S17:V17)</f>
        <v>4517</v>
      </c>
      <c r="AT17" s="2">
        <f>SUM(W17:Z17)</f>
        <v>3946</v>
      </c>
      <c r="AU17" s="2">
        <f>SUM(AA17:AD17)</f>
        <v>4800</v>
      </c>
      <c r="AV17" s="2">
        <f>SUM(AE17:AH17)</f>
        <v>5150</v>
      </c>
      <c r="AW17" s="2">
        <f>AW9*0.052</f>
        <v>4448.795000000001</v>
      </c>
      <c r="AX17" s="2">
        <f t="shared" ref="AX17:BG17" si="93">AX9*0.052</f>
        <v>4788.0646580000002</v>
      </c>
      <c r="AY17" s="2">
        <f t="shared" si="93"/>
        <v>5155.6133306600004</v>
      </c>
      <c r="AZ17" s="2">
        <f t="shared" si="93"/>
        <v>5539.1015243382008</v>
      </c>
      <c r="BA17" s="2">
        <f t="shared" si="93"/>
        <v>5968.3595396487144</v>
      </c>
      <c r="BB17" s="2">
        <f t="shared" si="93"/>
        <v>6361.3532749679953</v>
      </c>
      <c r="BC17" s="2">
        <f t="shared" si="93"/>
        <v>6736.7818160954603</v>
      </c>
      <c r="BD17" s="2">
        <f t="shared" si="93"/>
        <v>7169.931676872</v>
      </c>
      <c r="BE17" s="2">
        <f t="shared" si="93"/>
        <v>7671.6571073987416</v>
      </c>
      <c r="BF17" s="2">
        <f t="shared" si="93"/>
        <v>8254.9558686113487</v>
      </c>
      <c r="BG17" s="2">
        <f t="shared" si="93"/>
        <v>8935.3963811476297</v>
      </c>
    </row>
    <row r="18" spans="1:180" x14ac:dyDescent="0.3">
      <c r="B18" t="s">
        <v>12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103.4</v>
      </c>
      <c r="I18" s="1">
        <v>26.1</v>
      </c>
      <c r="J18" s="1">
        <v>5.6</v>
      </c>
      <c r="K18" s="1">
        <v>44</v>
      </c>
      <c r="L18" s="1">
        <v>117</v>
      </c>
      <c r="M18" s="1">
        <v>0</v>
      </c>
      <c r="N18" s="1">
        <v>-12</v>
      </c>
      <c r="O18" s="1">
        <v>0</v>
      </c>
      <c r="P18" s="1">
        <v>0</v>
      </c>
      <c r="Q18" s="1">
        <v>0</v>
      </c>
      <c r="R18" s="1">
        <v>0</v>
      </c>
      <c r="S18" s="1">
        <v>-101</v>
      </c>
      <c r="T18" s="1">
        <v>23</v>
      </c>
      <c r="U18" s="1">
        <v>51</v>
      </c>
      <c r="V18" s="1">
        <v>0</v>
      </c>
      <c r="W18" s="1">
        <v>0</v>
      </c>
      <c r="X18" s="1">
        <v>142</v>
      </c>
      <c r="Y18" s="1">
        <v>0</v>
      </c>
      <c r="Z18" s="1">
        <v>34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622</v>
      </c>
      <c r="AG18" s="1">
        <v>55</v>
      </c>
      <c r="AH18" s="1">
        <v>7</v>
      </c>
      <c r="AI18" s="1">
        <v>94</v>
      </c>
      <c r="AJ18" s="1">
        <v>0</v>
      </c>
      <c r="AK18" s="1">
        <v>0</v>
      </c>
      <c r="AL18" s="1">
        <v>0</v>
      </c>
      <c r="AM18" s="1"/>
      <c r="AO18" s="2">
        <f t="shared" si="58"/>
        <v>0</v>
      </c>
      <c r="AP18" s="2">
        <f t="shared" si="1"/>
        <v>135.1</v>
      </c>
      <c r="AQ18" s="2">
        <f t="shared" si="2"/>
        <v>149</v>
      </c>
      <c r="AR18" s="2">
        <f t="shared" si="52"/>
        <v>0</v>
      </c>
      <c r="AS18" s="2">
        <f>SUM(S18:V18)</f>
        <v>-27</v>
      </c>
      <c r="AT18" s="2">
        <f>SUM(W18:Z18)</f>
        <v>176</v>
      </c>
      <c r="AU18" s="2">
        <f>SUM(AA18:AD18)</f>
        <v>0</v>
      </c>
      <c r="AV18" s="2">
        <f>SUM(AE18:AH18)</f>
        <v>684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</row>
    <row r="19" spans="1:180" s="3" customFormat="1" x14ac:dyDescent="0.3">
      <c r="B19" s="3" t="s">
        <v>19</v>
      </c>
      <c r="C19" s="4">
        <f t="shared" ref="C19:E19" si="94">C16+C17+C18</f>
        <v>925.4</v>
      </c>
      <c r="D19" s="4">
        <f t="shared" si="94"/>
        <v>907.40000000000009</v>
      </c>
      <c r="E19" s="4">
        <f t="shared" si="94"/>
        <v>984.5</v>
      </c>
      <c r="F19" s="4">
        <f t="shared" ref="F19:I19" si="95">F16+F17+F18</f>
        <v>1036.8000000000002</v>
      </c>
      <c r="G19" s="4">
        <f t="shared" si="95"/>
        <v>1053.4000000000001</v>
      </c>
      <c r="H19" s="4">
        <f t="shared" si="95"/>
        <v>1240.2000000000003</v>
      </c>
      <c r="I19" s="4">
        <f t="shared" si="95"/>
        <v>1106.6999999999998</v>
      </c>
      <c r="J19" s="4">
        <f t="shared" ref="J19:R19" si="96">J16+J17+J18</f>
        <v>1029.1999999999998</v>
      </c>
      <c r="K19" s="4">
        <f t="shared" si="96"/>
        <v>1088</v>
      </c>
      <c r="L19" s="4">
        <f t="shared" si="96"/>
        <v>1088</v>
      </c>
      <c r="M19" s="4">
        <f t="shared" si="96"/>
        <v>930</v>
      </c>
      <c r="N19" s="4">
        <f t="shared" si="96"/>
        <v>1032</v>
      </c>
      <c r="O19" s="4">
        <f t="shared" si="96"/>
        <v>951</v>
      </c>
      <c r="P19" s="4">
        <f t="shared" si="96"/>
        <v>940</v>
      </c>
      <c r="Q19" s="4">
        <f t="shared" si="96"/>
        <v>1254</v>
      </c>
      <c r="R19" s="4">
        <f t="shared" si="96"/>
        <v>1491</v>
      </c>
      <c r="S19" s="4">
        <f t="shared" ref="S19:U19" si="97">S16+S17+S18</f>
        <v>1621</v>
      </c>
      <c r="T19" s="4">
        <f t="shared" si="97"/>
        <v>1572</v>
      </c>
      <c r="U19" s="4">
        <f t="shared" si="97"/>
        <v>1656</v>
      </c>
      <c r="V19" s="4">
        <f t="shared" ref="V19" si="98">V16+V17+V18</f>
        <v>2234</v>
      </c>
      <c r="W19" s="4">
        <f t="shared" ref="W19" si="99">W16+W17+W18</f>
        <v>1857</v>
      </c>
      <c r="X19" s="4">
        <f t="shared" ref="X19" si="100">X16+X17+X18</f>
        <v>1770</v>
      </c>
      <c r="Y19" s="4">
        <f t="shared" ref="Y19" si="101">Y16+Y17+Y18</f>
        <v>1694</v>
      </c>
      <c r="Z19" s="4">
        <f t="shared" ref="Z19" si="102">Z16+Z17+Z18</f>
        <v>1876</v>
      </c>
      <c r="AA19" s="4">
        <f t="shared" ref="AA19" si="103">AA16+AA17+AA18</f>
        <v>1847</v>
      </c>
      <c r="AB19" s="4">
        <f t="shared" ref="AB19:AC19" si="104">AB16+AB17+AB18</f>
        <v>2134</v>
      </c>
      <c r="AC19" s="4">
        <f t="shared" si="104"/>
        <v>2414</v>
      </c>
      <c r="AD19" s="4">
        <f t="shared" ref="AD19:AE19" si="105">AD16+AD17+AD18</f>
        <v>2374</v>
      </c>
      <c r="AE19" s="4">
        <f t="shared" si="105"/>
        <v>2525</v>
      </c>
      <c r="AF19" s="4">
        <f t="shared" ref="AF19:AH19" si="106">AF16+AF17+AF18</f>
        <v>2973</v>
      </c>
      <c r="AG19" s="4">
        <f t="shared" si="106"/>
        <v>2280</v>
      </c>
      <c r="AH19" s="4">
        <f t="shared" si="106"/>
        <v>2596</v>
      </c>
      <c r="AI19" s="4">
        <f t="shared" ref="AI19:AL19" si="107">AI16+AI17+AI18</f>
        <v>2754</v>
      </c>
      <c r="AJ19" s="4">
        <f t="shared" si="107"/>
        <v>2276.2309999999998</v>
      </c>
      <c r="AK19" s="4">
        <f t="shared" si="107"/>
        <v>2306.7250000000004</v>
      </c>
      <c r="AL19" s="4">
        <f t="shared" si="107"/>
        <v>2561.5315000000001</v>
      </c>
      <c r="AM19" s="4"/>
      <c r="AO19" s="6">
        <f>SUM(AO16,AO17,AO18)</f>
        <v>3854.1</v>
      </c>
      <c r="AP19" s="6">
        <f>SUM(AP16,AP17,AP18)</f>
        <v>4429.5</v>
      </c>
      <c r="AQ19" s="6">
        <f>SUM(AQ16,AQ17,AQ18)</f>
        <v>4138</v>
      </c>
      <c r="AR19" s="6">
        <f t="shared" ref="AR19:BB19" si="108">SUM(AR16,AR17,AR18)</f>
        <v>4636</v>
      </c>
      <c r="AS19" s="6">
        <f t="shared" si="108"/>
        <v>7083</v>
      </c>
      <c r="AT19" s="6">
        <f t="shared" ref="AT19:AU19" si="109">SUM(AT16,AT17,AT18)</f>
        <v>7197</v>
      </c>
      <c r="AU19" s="6">
        <f t="shared" si="109"/>
        <v>8769</v>
      </c>
      <c r="AV19" s="6">
        <f t="shared" si="108"/>
        <v>10374</v>
      </c>
      <c r="AW19" s="6">
        <f t="shared" si="108"/>
        <v>9397.3950000000004</v>
      </c>
      <c r="AX19" s="6">
        <f t="shared" si="108"/>
        <v>10083.066658</v>
      </c>
      <c r="AY19" s="6">
        <f t="shared" si="108"/>
        <v>10715.36543066</v>
      </c>
      <c r="AZ19" s="6">
        <f t="shared" si="108"/>
        <v>11321.243708338203</v>
      </c>
      <c r="BA19" s="6">
        <f t="shared" si="108"/>
        <v>11923.965989168715</v>
      </c>
      <c r="BB19" s="6">
        <f t="shared" si="108"/>
        <v>12495.627917973598</v>
      </c>
      <c r="BC19" s="6">
        <f t="shared" ref="BC19:BG19" si="110">SUM(BC16,BC17,BC18)</f>
        <v>13055.084698391231</v>
      </c>
      <c r="BD19" s="6">
        <f t="shared" si="110"/>
        <v>13677.783645636644</v>
      </c>
      <c r="BE19" s="6">
        <f t="shared" si="110"/>
        <v>14374.744635226325</v>
      </c>
      <c r="BF19" s="6">
        <f t="shared" si="110"/>
        <v>15159.13602227376</v>
      </c>
      <c r="BG19" s="6">
        <f t="shared" si="110"/>
        <v>16046.701939419912</v>
      </c>
    </row>
    <row r="20" spans="1:180" s="3" customFormat="1" x14ac:dyDescent="0.3">
      <c r="B20" s="3" t="s">
        <v>18</v>
      </c>
      <c r="C20" s="4">
        <f t="shared" ref="C20:E20" si="111">C15-C19</f>
        <v>-257.39999999999998</v>
      </c>
      <c r="D20" s="4">
        <f t="shared" si="111"/>
        <v>-240.80000000000064</v>
      </c>
      <c r="E20" s="4">
        <f t="shared" si="111"/>
        <v>-535.50000000000045</v>
      </c>
      <c r="F20" s="4">
        <f t="shared" ref="F20:I20" si="112">F15-F19</f>
        <v>-598</v>
      </c>
      <c r="G20" s="4">
        <f t="shared" si="112"/>
        <v>-596.70000000000027</v>
      </c>
      <c r="H20" s="4">
        <f t="shared" si="112"/>
        <v>-621.69999999999982</v>
      </c>
      <c r="I20" s="4">
        <f t="shared" si="112"/>
        <v>417.10000000000127</v>
      </c>
      <c r="J20" s="4">
        <f t="shared" ref="J20:R20" si="113">J15-J19</f>
        <v>413.5</v>
      </c>
      <c r="K20" s="4">
        <f t="shared" si="113"/>
        <v>-522</v>
      </c>
      <c r="L20" s="4">
        <f t="shared" si="113"/>
        <v>-167</v>
      </c>
      <c r="M20" s="4">
        <f t="shared" si="113"/>
        <v>261</v>
      </c>
      <c r="N20" s="4">
        <f t="shared" si="113"/>
        <v>359</v>
      </c>
      <c r="O20" s="4">
        <f t="shared" si="113"/>
        <v>283</v>
      </c>
      <c r="P20" s="4">
        <f t="shared" si="113"/>
        <v>327</v>
      </c>
      <c r="Q20" s="4">
        <f t="shared" si="113"/>
        <v>809</v>
      </c>
      <c r="R20" s="4">
        <f t="shared" si="113"/>
        <v>575</v>
      </c>
      <c r="S20" s="4">
        <f t="shared" ref="S20:U20" si="114">S15-S19</f>
        <v>594</v>
      </c>
      <c r="T20" s="4">
        <f t="shared" si="114"/>
        <v>1312</v>
      </c>
      <c r="U20" s="4">
        <f t="shared" si="114"/>
        <v>2004</v>
      </c>
      <c r="V20" s="4">
        <f t="shared" ref="V20" si="115">V15-V19</f>
        <v>2613</v>
      </c>
      <c r="W20" s="4">
        <f t="shared" ref="W20" si="116">W15-W19</f>
        <v>3603</v>
      </c>
      <c r="X20" s="4">
        <f t="shared" ref="X20" si="117">X15-X19</f>
        <v>2464</v>
      </c>
      <c r="Y20" s="4">
        <f t="shared" ref="Y20" si="118">Y15-Y19</f>
        <v>3688</v>
      </c>
      <c r="Z20" s="4">
        <f t="shared" ref="Z20" si="119">Z15-Z19</f>
        <v>3901</v>
      </c>
      <c r="AA20" s="4">
        <f t="shared" ref="AA20" si="120">AA15-AA19</f>
        <v>2664</v>
      </c>
      <c r="AB20" s="4">
        <f t="shared" ref="AB20:AC20" si="121">AB15-AB19</f>
        <v>2399</v>
      </c>
      <c r="AC20" s="4">
        <f t="shared" si="121"/>
        <v>1764</v>
      </c>
      <c r="AD20" s="4">
        <f t="shared" ref="AD20:AE20" si="122">AD15-AD19</f>
        <v>2064</v>
      </c>
      <c r="AE20" s="4">
        <f t="shared" si="122"/>
        <v>1171</v>
      </c>
      <c r="AF20" s="4">
        <f t="shared" ref="AF20:AH20" si="123">AF15-AF19</f>
        <v>1605</v>
      </c>
      <c r="AG20" s="4">
        <f t="shared" si="123"/>
        <v>2717</v>
      </c>
      <c r="AH20" s="4">
        <f t="shared" si="123"/>
        <v>1583</v>
      </c>
      <c r="AI20" s="4">
        <f t="shared" ref="AI20:AL20" si="124">AI15-AI19</f>
        <v>399</v>
      </c>
      <c r="AJ20" s="4">
        <f t="shared" si="124"/>
        <v>1094.1234000000004</v>
      </c>
      <c r="AK20" s="4">
        <f t="shared" si="124"/>
        <v>1158.858000000002</v>
      </c>
      <c r="AL20" s="4">
        <f t="shared" si="124"/>
        <v>1010.1026000000029</v>
      </c>
      <c r="AM20" s="4"/>
      <c r="AO20" s="6">
        <f>AO15-AO19</f>
        <v>-1631.7000000000003</v>
      </c>
      <c r="AP20" s="6">
        <f>AP15-AP19</f>
        <v>-387.80000000000291</v>
      </c>
      <c r="AQ20" s="6">
        <f t="shared" ref="AQ20:BB20" si="125">AQ15-AQ19</f>
        <v>-69</v>
      </c>
      <c r="AR20" s="6">
        <f t="shared" si="125"/>
        <v>1994</v>
      </c>
      <c r="AS20" s="6">
        <f t="shared" si="125"/>
        <v>6523</v>
      </c>
      <c r="AT20" s="6">
        <f t="shared" ref="AT20:AU20" si="126">AT15-AT19</f>
        <v>13656</v>
      </c>
      <c r="AU20" s="6">
        <f t="shared" si="126"/>
        <v>8891</v>
      </c>
      <c r="AV20" s="6">
        <f t="shared" si="125"/>
        <v>7076</v>
      </c>
      <c r="AW20" s="6">
        <f t="shared" si="125"/>
        <v>4163.1765000000196</v>
      </c>
      <c r="AX20" s="6">
        <f t="shared" si="125"/>
        <v>8120.2987320000066</v>
      </c>
      <c r="AY20" s="6">
        <f t="shared" si="125"/>
        <v>8999.5027886399985</v>
      </c>
      <c r="AZ20" s="6">
        <f t="shared" si="125"/>
        <v>10517.684218118819</v>
      </c>
      <c r="BA20" s="6">
        <f t="shared" si="125"/>
        <v>11830.584640673671</v>
      </c>
      <c r="BB20" s="6">
        <f t="shared" si="125"/>
        <v>13676.077197738708</v>
      </c>
      <c r="BC20" s="6">
        <f t="shared" ref="BC20:BG20" si="127">BC15-BC19</f>
        <v>14825.0383211146</v>
      </c>
      <c r="BD20" s="6">
        <f t="shared" si="127"/>
        <v>16560.120570469087</v>
      </c>
      <c r="BE20" s="6">
        <f t="shared" si="127"/>
        <v>17905.685363761029</v>
      </c>
      <c r="BF20" s="6">
        <f t="shared" si="127"/>
        <v>20218.13817701404</v>
      </c>
      <c r="BG20" s="6">
        <f t="shared" si="127"/>
        <v>21629.068685839495</v>
      </c>
    </row>
    <row r="21" spans="1:180" x14ac:dyDescent="0.3">
      <c r="B21" t="s">
        <v>13</v>
      </c>
      <c r="C21" s="1">
        <v>-3</v>
      </c>
      <c r="D21" s="1">
        <v>-4.7</v>
      </c>
      <c r="E21" s="1">
        <v>-5.5</v>
      </c>
      <c r="F21" s="1">
        <v>-6.2</v>
      </c>
      <c r="G21" s="1">
        <v>-5.2</v>
      </c>
      <c r="H21" s="1">
        <v>-5</v>
      </c>
      <c r="I21" s="1">
        <v>-6.9</v>
      </c>
      <c r="J21" s="1">
        <v>-7.3</v>
      </c>
      <c r="K21" s="1">
        <v>-9</v>
      </c>
      <c r="L21" s="1">
        <v>-10</v>
      </c>
      <c r="M21" s="1">
        <v>-15</v>
      </c>
      <c r="N21" s="1">
        <v>-10</v>
      </c>
      <c r="O21" s="1">
        <v>-10</v>
      </c>
      <c r="P21" s="1">
        <v>-8</v>
      </c>
      <c r="Q21" s="1">
        <v>-6</v>
      </c>
      <c r="R21" s="1">
        <v>-6</v>
      </c>
      <c r="S21" s="1">
        <v>-10</v>
      </c>
      <c r="T21" s="1">
        <v>-11</v>
      </c>
      <c r="U21" s="1">
        <v>-10</v>
      </c>
      <c r="V21" s="1">
        <v>-25</v>
      </c>
      <c r="W21" s="1">
        <v>-28</v>
      </c>
      <c r="X21" s="1">
        <v>-26</v>
      </c>
      <c r="Y21" s="1">
        <v>-86</v>
      </c>
      <c r="Z21" s="1">
        <v>-157</v>
      </c>
      <c r="AA21" s="1">
        <v>-213</v>
      </c>
      <c r="AB21" s="1">
        <v>-238</v>
      </c>
      <c r="AC21" s="1">
        <v>-282</v>
      </c>
      <c r="AD21" s="1">
        <v>-333</v>
      </c>
      <c r="AE21" s="1">
        <v>-350</v>
      </c>
      <c r="AF21" s="1">
        <v>-348</v>
      </c>
      <c r="AG21" s="1">
        <v>-429</v>
      </c>
      <c r="AH21" s="1">
        <v>-442</v>
      </c>
      <c r="AI21" s="1">
        <v>-400</v>
      </c>
      <c r="AJ21" s="1">
        <f t="shared" ref="AJ21:AL22" si="128">AF21*1.03</f>
        <v>-358.44</v>
      </c>
      <c r="AK21" s="1">
        <f t="shared" si="128"/>
        <v>-441.87</v>
      </c>
      <c r="AL21" s="1">
        <f t="shared" si="128"/>
        <v>-455.26</v>
      </c>
      <c r="AM21" s="1"/>
      <c r="AO21" s="2">
        <f t="shared" si="58"/>
        <v>-19.399999999999999</v>
      </c>
      <c r="AP21" s="2">
        <f t="shared" si="1"/>
        <v>-24.400000000000002</v>
      </c>
      <c r="AQ21" s="2">
        <f t="shared" si="2"/>
        <v>-44</v>
      </c>
      <c r="AR21" s="2">
        <f t="shared" si="52"/>
        <v>-30</v>
      </c>
      <c r="AS21" s="2">
        <f>SUM(S21:V21)</f>
        <v>-56</v>
      </c>
      <c r="AT21" s="2">
        <f>SUM(W21:Z21)</f>
        <v>-297</v>
      </c>
      <c r="AU21" s="2">
        <f>SUM(AA21:AD21)</f>
        <v>-1066</v>
      </c>
      <c r="AV21" s="2">
        <f>SUM(AE21:AH21)</f>
        <v>-1569</v>
      </c>
      <c r="AW21" s="2">
        <f t="shared" ref="AW21:AX21" si="129">AV21*1.2</f>
        <v>-1882.8</v>
      </c>
      <c r="AX21" s="2">
        <f t="shared" si="129"/>
        <v>-2259.3599999999997</v>
      </c>
      <c r="AY21" s="2">
        <f>AX21*1.01</f>
        <v>-2281.9535999999998</v>
      </c>
      <c r="AZ21" s="2">
        <f t="shared" ref="AZ21:BB21" si="130">AY21*1.01</f>
        <v>-2304.7731359999998</v>
      </c>
      <c r="BA21" s="2">
        <f t="shared" si="130"/>
        <v>-2327.8208673599997</v>
      </c>
      <c r="BB21" s="2">
        <f t="shared" si="130"/>
        <v>-2351.0990760335999</v>
      </c>
      <c r="BC21" s="2">
        <f t="shared" ref="BC21" si="131">BB21*1.01</f>
        <v>-2374.6100667939359</v>
      </c>
      <c r="BD21" s="2">
        <f t="shared" ref="BD21" si="132">BC21*1.01</f>
        <v>-2398.3561674618754</v>
      </c>
      <c r="BE21" s="2">
        <f t="shared" ref="BE21" si="133">BD21*1.01</f>
        <v>-2422.339729136494</v>
      </c>
      <c r="BF21" s="2">
        <f t="shared" ref="BF21" si="134">BE21*1.01</f>
        <v>-2446.5631264278591</v>
      </c>
      <c r="BG21" s="2">
        <f t="shared" ref="BG21" si="135">BF21*1.01</f>
        <v>-2471.0287576921378</v>
      </c>
    </row>
    <row r="22" spans="1:180" x14ac:dyDescent="0.3">
      <c r="B22" t="s">
        <v>14</v>
      </c>
      <c r="C22" s="1">
        <v>99.3</v>
      </c>
      <c r="D22" s="1">
        <v>108.4</v>
      </c>
      <c r="E22" s="1">
        <v>117.1</v>
      </c>
      <c r="F22" s="1">
        <v>146.30000000000001</v>
      </c>
      <c r="G22" s="1">
        <v>149.5</v>
      </c>
      <c r="H22" s="1">
        <v>163.5</v>
      </c>
      <c r="I22" s="1">
        <v>175.2</v>
      </c>
      <c r="J22" s="1">
        <v>174.7</v>
      </c>
      <c r="K22" s="1">
        <v>158</v>
      </c>
      <c r="L22" s="1">
        <v>172</v>
      </c>
      <c r="M22" s="1">
        <v>185</v>
      </c>
      <c r="N22" s="1">
        <v>170</v>
      </c>
      <c r="O22" s="1">
        <v>169</v>
      </c>
      <c r="P22" s="1">
        <v>170</v>
      </c>
      <c r="Q22" s="1">
        <v>163</v>
      </c>
      <c r="R22" s="1">
        <v>246</v>
      </c>
      <c r="S22" s="1">
        <v>99</v>
      </c>
      <c r="T22" s="1">
        <v>75</v>
      </c>
      <c r="U22" s="1">
        <v>126</v>
      </c>
      <c r="V22" s="1">
        <v>71</v>
      </c>
      <c r="W22" s="1">
        <v>61</v>
      </c>
      <c r="X22" s="1">
        <v>44</v>
      </c>
      <c r="Y22" s="1">
        <v>53</v>
      </c>
      <c r="Z22" s="1">
        <v>33</v>
      </c>
      <c r="AA22" s="1">
        <v>29</v>
      </c>
      <c r="AB22" s="1">
        <v>28</v>
      </c>
      <c r="AC22" s="1">
        <v>38</v>
      </c>
      <c r="AD22" s="1">
        <v>61</v>
      </c>
      <c r="AE22" s="1">
        <v>76</v>
      </c>
      <c r="AF22" s="1">
        <v>86</v>
      </c>
      <c r="AG22" s="1">
        <v>92</v>
      </c>
      <c r="AH22" s="1">
        <v>96</v>
      </c>
      <c r="AI22" s="1">
        <v>91</v>
      </c>
      <c r="AJ22" s="1">
        <f t="shared" si="128"/>
        <v>88.58</v>
      </c>
      <c r="AK22" s="1">
        <f t="shared" si="128"/>
        <v>94.76</v>
      </c>
      <c r="AL22" s="1">
        <f t="shared" si="128"/>
        <v>98.88</v>
      </c>
      <c r="AM22" s="1"/>
      <c r="AO22" s="2">
        <f t="shared" si="58"/>
        <v>471.09999999999997</v>
      </c>
      <c r="AP22" s="2">
        <f t="shared" si="1"/>
        <v>662.9</v>
      </c>
      <c r="AQ22" s="2">
        <f t="shared" si="2"/>
        <v>685</v>
      </c>
      <c r="AR22" s="2">
        <f t="shared" si="52"/>
        <v>748</v>
      </c>
      <c r="AS22" s="2">
        <f>SUM(S22:V22)</f>
        <v>371</v>
      </c>
      <c r="AT22" s="2">
        <f>SUM(W22:Z22)</f>
        <v>191</v>
      </c>
      <c r="AU22" s="2">
        <f>SUM(AA22:AD22)</f>
        <v>156</v>
      </c>
      <c r="AV22" s="2">
        <f>SUM(AE22:AH22)</f>
        <v>350</v>
      </c>
      <c r="AW22" s="2">
        <f t="shared" ref="AW22:BB22" si="136">AV22*0.9</f>
        <v>315</v>
      </c>
      <c r="AX22" s="2">
        <f t="shared" si="136"/>
        <v>283.5</v>
      </c>
      <c r="AY22" s="2">
        <f t="shared" si="136"/>
        <v>255.15</v>
      </c>
      <c r="AZ22" s="2">
        <f t="shared" si="136"/>
        <v>229.63500000000002</v>
      </c>
      <c r="BA22" s="2">
        <f t="shared" si="136"/>
        <v>206.67150000000001</v>
      </c>
      <c r="BB22" s="2">
        <f t="shared" si="136"/>
        <v>186.00435000000002</v>
      </c>
      <c r="BC22" s="2">
        <f t="shared" ref="BC22:BG22" si="137">BB22*0.9</f>
        <v>167.40391500000001</v>
      </c>
      <c r="BD22" s="2">
        <f t="shared" si="137"/>
        <v>150.66352350000003</v>
      </c>
      <c r="BE22" s="2">
        <f t="shared" si="137"/>
        <v>135.59717115000004</v>
      </c>
      <c r="BF22" s="2">
        <f t="shared" si="137"/>
        <v>122.03745403500004</v>
      </c>
      <c r="BG22" s="2">
        <f t="shared" si="137"/>
        <v>109.83370863150003</v>
      </c>
    </row>
    <row r="23" spans="1:180" x14ac:dyDescent="0.3">
      <c r="B23" t="s">
        <v>15</v>
      </c>
      <c r="C23" s="1">
        <v>18</v>
      </c>
      <c r="D23" s="1">
        <v>41.2</v>
      </c>
      <c r="E23" s="1">
        <v>24.3</v>
      </c>
      <c r="F23" s="1">
        <v>41.6</v>
      </c>
      <c r="G23" s="1">
        <v>37.700000000000003</v>
      </c>
      <c r="H23" s="1">
        <v>-50.9</v>
      </c>
      <c r="I23" s="1">
        <v>-22</v>
      </c>
      <c r="J23" s="1">
        <v>14.2</v>
      </c>
      <c r="K23" s="1">
        <v>-26</v>
      </c>
      <c r="L23" s="1">
        <v>41</v>
      </c>
      <c r="M23" s="1">
        <v>-85</v>
      </c>
      <c r="N23" s="1">
        <v>25</v>
      </c>
      <c r="O23" s="1">
        <v>54</v>
      </c>
      <c r="P23" s="1">
        <v>15</v>
      </c>
      <c r="Q23" s="1">
        <v>97</v>
      </c>
      <c r="R23" s="1">
        <v>-44</v>
      </c>
      <c r="S23" s="1">
        <v>-28</v>
      </c>
      <c r="T23" s="1">
        <v>-45</v>
      </c>
      <c r="U23" s="1">
        <v>6</v>
      </c>
      <c r="V23" s="1">
        <v>-68</v>
      </c>
      <c r="W23" s="1">
        <v>-56</v>
      </c>
      <c r="X23" s="1">
        <v>-28</v>
      </c>
      <c r="Y23" s="1">
        <v>85</v>
      </c>
      <c r="Z23" s="1">
        <v>42</v>
      </c>
      <c r="AA23" s="1">
        <v>48</v>
      </c>
      <c r="AB23" s="1">
        <v>-328</v>
      </c>
      <c r="AC23" s="1">
        <v>-37</v>
      </c>
      <c r="AD23" s="1">
        <v>145</v>
      </c>
      <c r="AE23" s="1">
        <v>-108</v>
      </c>
      <c r="AF23" s="1">
        <v>-20</v>
      </c>
      <c r="AG23" s="1">
        <v>270</v>
      </c>
      <c r="AH23" s="1">
        <v>-837</v>
      </c>
      <c r="AI23" s="1">
        <v>119</v>
      </c>
      <c r="AJ23" s="1">
        <v>0</v>
      </c>
      <c r="AK23" s="1">
        <v>0</v>
      </c>
      <c r="AL23" s="1">
        <v>0</v>
      </c>
      <c r="AM23" s="1"/>
      <c r="AO23" s="2">
        <f t="shared" si="58"/>
        <v>125.1</v>
      </c>
      <c r="AP23" s="2">
        <f t="shared" si="1"/>
        <v>-20.999999999999996</v>
      </c>
      <c r="AQ23" s="2">
        <f t="shared" si="2"/>
        <v>-45</v>
      </c>
      <c r="AR23" s="2">
        <f t="shared" si="52"/>
        <v>122</v>
      </c>
      <c r="AS23" s="2">
        <f>SUM(S23:V23)</f>
        <v>-135</v>
      </c>
      <c r="AT23" s="2">
        <f>SUM(W23:Z23)</f>
        <v>43</v>
      </c>
      <c r="AU23" s="2">
        <f>SUM(AA23:AD23)</f>
        <v>-172</v>
      </c>
      <c r="AV23" s="2">
        <f>SUM(AE23:AH23)</f>
        <v>-695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</row>
    <row r="24" spans="1:180" s="6" customFormat="1" x14ac:dyDescent="0.3">
      <c r="B24" s="6" t="s">
        <v>17</v>
      </c>
      <c r="C24" s="4">
        <f t="shared" ref="C24:E24" si="138">C20-C21-C22-C23</f>
        <v>-371.7</v>
      </c>
      <c r="D24" s="4">
        <f t="shared" si="138"/>
        <v>-385.70000000000067</v>
      </c>
      <c r="E24" s="4">
        <f t="shared" si="138"/>
        <v>-671.40000000000043</v>
      </c>
      <c r="F24" s="4">
        <f t="shared" ref="F24:I24" si="139">F20-F21-F22-F23</f>
        <v>-779.69999999999993</v>
      </c>
      <c r="G24" s="4">
        <f t="shared" si="139"/>
        <v>-778.70000000000027</v>
      </c>
      <c r="H24" s="4">
        <f t="shared" si="139"/>
        <v>-729.29999999999984</v>
      </c>
      <c r="I24" s="4">
        <f t="shared" si="139"/>
        <v>270.80000000000126</v>
      </c>
      <c r="J24" s="4">
        <f t="shared" ref="J24:U24" si="140">J20-J21-J22-J23</f>
        <v>231.90000000000003</v>
      </c>
      <c r="K24" s="4">
        <f t="shared" si="140"/>
        <v>-645</v>
      </c>
      <c r="L24" s="4">
        <f t="shared" si="140"/>
        <v>-370</v>
      </c>
      <c r="M24" s="4">
        <f t="shared" si="140"/>
        <v>176</v>
      </c>
      <c r="N24" s="4">
        <f t="shared" si="140"/>
        <v>174</v>
      </c>
      <c r="O24" s="4">
        <f t="shared" si="140"/>
        <v>70</v>
      </c>
      <c r="P24" s="4">
        <f t="shared" si="140"/>
        <v>150</v>
      </c>
      <c r="Q24" s="4">
        <f t="shared" si="140"/>
        <v>555</v>
      </c>
      <c r="R24" s="4">
        <f t="shared" si="140"/>
        <v>379</v>
      </c>
      <c r="S24" s="4">
        <f t="shared" si="140"/>
        <v>533</v>
      </c>
      <c r="T24" s="4">
        <f t="shared" si="140"/>
        <v>1293</v>
      </c>
      <c r="U24" s="4">
        <f t="shared" si="140"/>
        <v>1882</v>
      </c>
      <c r="V24" s="4">
        <f t="shared" ref="V24" si="141">V20-V21-V22-V23</f>
        <v>2635</v>
      </c>
      <c r="W24" s="4">
        <f t="shared" ref="W24" si="142">W20-W21-W22-W23</f>
        <v>3626</v>
      </c>
      <c r="X24" s="4">
        <f t="shared" ref="X24" si="143">X20-X21-X22-X23</f>
        <v>2474</v>
      </c>
      <c r="Y24" s="4">
        <f t="shared" ref="Y24" si="144">Y20-Y21-Y22-Y23</f>
        <v>3636</v>
      </c>
      <c r="Z24" s="4">
        <f t="shared" ref="Z24" si="145">Z20-Z21-Z22-Z23</f>
        <v>3983</v>
      </c>
      <c r="AA24" s="4">
        <f t="shared" ref="AA24" si="146">AA20-AA21-AA22-AA23</f>
        <v>2800</v>
      </c>
      <c r="AB24" s="4">
        <f t="shared" ref="AB24:AC24" si="147">AB20-AB21-AB22-AB23</f>
        <v>2937</v>
      </c>
      <c r="AC24" s="4">
        <f t="shared" si="147"/>
        <v>2045</v>
      </c>
      <c r="AD24" s="4">
        <f t="shared" ref="AD24:AE24" si="148">AD20-AD21-AD22-AD23</f>
        <v>2191</v>
      </c>
      <c r="AE24" s="4">
        <f t="shared" si="148"/>
        <v>1553</v>
      </c>
      <c r="AF24" s="4">
        <f t="shared" ref="AF24:AL24" si="149">AF20-AF21-AF22-AF23</f>
        <v>1887</v>
      </c>
      <c r="AG24" s="4">
        <f t="shared" si="149"/>
        <v>2784</v>
      </c>
      <c r="AH24" s="4">
        <f t="shared" si="149"/>
        <v>2766</v>
      </c>
      <c r="AI24" s="4">
        <f t="shared" si="149"/>
        <v>589</v>
      </c>
      <c r="AJ24" s="4">
        <f t="shared" si="149"/>
        <v>1363.9834000000005</v>
      </c>
      <c r="AK24" s="4">
        <f t="shared" si="149"/>
        <v>1505.9680000000019</v>
      </c>
      <c r="AL24" s="4">
        <f t="shared" si="149"/>
        <v>1366.482600000003</v>
      </c>
      <c r="AM24" s="4"/>
      <c r="AO24" s="6">
        <f t="shared" si="58"/>
        <v>-2208.5000000000009</v>
      </c>
      <c r="AP24" s="6">
        <f t="shared" si="1"/>
        <v>-1005.2999999999986</v>
      </c>
      <c r="AQ24" s="6">
        <f t="shared" si="2"/>
        <v>-665</v>
      </c>
      <c r="AR24" s="6">
        <f t="shared" si="52"/>
        <v>1154</v>
      </c>
      <c r="AS24" s="6">
        <f>AS20-AS21-AS22-AS23</f>
        <v>6343</v>
      </c>
      <c r="AT24" s="6">
        <f>AT20-AT21-AT22-AT23</f>
        <v>13719</v>
      </c>
      <c r="AU24" s="6">
        <f>AU20-AU21-AU22-AU23</f>
        <v>9973</v>
      </c>
      <c r="AV24" s="6">
        <f t="shared" ref="AV24:BG24" si="150">AV20-AV21-AV22-AV23</f>
        <v>8990</v>
      </c>
      <c r="AW24" s="6">
        <f t="shared" si="150"/>
        <v>5730.9765000000198</v>
      </c>
      <c r="AX24" s="6">
        <f t="shared" si="150"/>
        <v>10096.158732000007</v>
      </c>
      <c r="AY24" s="6">
        <f t="shared" si="150"/>
        <v>11026.30638864</v>
      </c>
      <c r="AZ24" s="6">
        <f t="shared" si="150"/>
        <v>12592.822354118818</v>
      </c>
      <c r="BA24" s="6">
        <f t="shared" si="150"/>
        <v>13951.734008033671</v>
      </c>
      <c r="BB24" s="6">
        <f t="shared" si="150"/>
        <v>15841.171923772308</v>
      </c>
      <c r="BC24" s="6">
        <f t="shared" si="150"/>
        <v>17032.244472908536</v>
      </c>
      <c r="BD24" s="6">
        <f t="shared" si="150"/>
        <v>18807.813214430964</v>
      </c>
      <c r="BE24" s="6">
        <f t="shared" si="150"/>
        <v>20192.427921747523</v>
      </c>
      <c r="BF24" s="6">
        <f t="shared" si="150"/>
        <v>22542.663849406901</v>
      </c>
      <c r="BG24" s="6">
        <f t="shared" si="150"/>
        <v>23990.263734900131</v>
      </c>
    </row>
    <row r="25" spans="1:180" x14ac:dyDescent="0.3">
      <c r="B25" t="s">
        <v>47</v>
      </c>
      <c r="C25" s="1">
        <v>25.2</v>
      </c>
      <c r="D25" s="1">
        <v>15.6</v>
      </c>
      <c r="E25" s="1">
        <v>-0.3</v>
      </c>
      <c r="F25" s="1">
        <v>-9</v>
      </c>
      <c r="G25" s="1">
        <v>5.6</v>
      </c>
      <c r="H25" s="1">
        <v>13.7</v>
      </c>
      <c r="I25" s="1">
        <v>16.600000000000001</v>
      </c>
      <c r="J25" s="1">
        <v>22</v>
      </c>
      <c r="K25" s="1">
        <v>23</v>
      </c>
      <c r="L25" s="1">
        <v>19</v>
      </c>
      <c r="M25" s="1">
        <v>26</v>
      </c>
      <c r="N25" s="1">
        <v>42</v>
      </c>
      <c r="O25" s="1">
        <v>2</v>
      </c>
      <c r="P25" s="1">
        <v>21</v>
      </c>
      <c r="Q25" s="1">
        <v>186</v>
      </c>
      <c r="R25" s="1">
        <v>83</v>
      </c>
      <c r="S25" s="1">
        <v>69</v>
      </c>
      <c r="T25" s="1">
        <v>115</v>
      </c>
      <c r="U25" s="1">
        <v>223</v>
      </c>
      <c r="V25" s="1">
        <v>292</v>
      </c>
      <c r="W25" s="1">
        <v>346</v>
      </c>
      <c r="X25" s="1">
        <v>205</v>
      </c>
      <c r="Y25" s="1">
        <v>305</v>
      </c>
      <c r="Z25" s="1">
        <v>276</v>
      </c>
      <c r="AA25" s="1">
        <v>261</v>
      </c>
      <c r="AB25" s="1">
        <v>323</v>
      </c>
      <c r="AC25" s="1">
        <v>167</v>
      </c>
      <c r="AD25" s="1">
        <v>-5752</v>
      </c>
      <c r="AE25" s="1">
        <v>409</v>
      </c>
      <c r="AF25" s="1">
        <v>393</v>
      </c>
      <c r="AG25" s="1">
        <v>601</v>
      </c>
      <c r="AH25" s="1">
        <v>434</v>
      </c>
      <c r="AI25" s="1">
        <v>169</v>
      </c>
      <c r="AJ25" s="1">
        <f t="shared" ref="AJ25:AL25" si="151">AJ24*0.2</f>
        <v>272.79668000000009</v>
      </c>
      <c r="AK25" s="1">
        <f t="shared" si="151"/>
        <v>301.1936000000004</v>
      </c>
      <c r="AL25" s="1">
        <f t="shared" si="151"/>
        <v>273.29652000000061</v>
      </c>
      <c r="AM25" s="1"/>
      <c r="AO25" s="2">
        <f t="shared" si="58"/>
        <v>31.5</v>
      </c>
      <c r="AP25" s="2">
        <f t="shared" si="1"/>
        <v>57.9</v>
      </c>
      <c r="AQ25" s="2">
        <f t="shared" si="2"/>
        <v>110</v>
      </c>
      <c r="AR25" s="2">
        <f t="shared" si="52"/>
        <v>292</v>
      </c>
      <c r="AS25" s="2">
        <f>SUM(S25:V25)</f>
        <v>699</v>
      </c>
      <c r="AT25" s="2">
        <f>SUM(W25:Z25)</f>
        <v>1132</v>
      </c>
      <c r="AU25" s="2">
        <f>SUM(AA25:AD25)</f>
        <v>-5001</v>
      </c>
      <c r="AV25" s="2">
        <f>SUM(AE25:AH25)</f>
        <v>1837</v>
      </c>
      <c r="AW25" s="2">
        <f>AW24*0.2</f>
        <v>1146.195300000004</v>
      </c>
      <c r="AX25" s="2">
        <f t="shared" ref="AX25:BG25" si="152">AX24*0.2</f>
        <v>2019.2317464000016</v>
      </c>
      <c r="AY25" s="2">
        <f t="shared" si="152"/>
        <v>2205.2612777280001</v>
      </c>
      <c r="AZ25" s="2">
        <f t="shared" si="152"/>
        <v>2518.5644708237637</v>
      </c>
      <c r="BA25" s="2">
        <f t="shared" si="152"/>
        <v>2790.3468016067345</v>
      </c>
      <c r="BB25" s="2">
        <f t="shared" si="152"/>
        <v>3168.2343847544616</v>
      </c>
      <c r="BC25" s="2">
        <f t="shared" si="152"/>
        <v>3406.4488945817075</v>
      </c>
      <c r="BD25" s="2">
        <f t="shared" si="152"/>
        <v>3761.5626428861929</v>
      </c>
      <c r="BE25" s="2">
        <f t="shared" si="152"/>
        <v>4038.4855843495047</v>
      </c>
      <c r="BF25" s="2">
        <f t="shared" si="152"/>
        <v>4508.5327698813808</v>
      </c>
      <c r="BG25" s="2">
        <f t="shared" si="152"/>
        <v>4798.0527469800263</v>
      </c>
    </row>
    <row r="26" spans="1:180" x14ac:dyDescent="0.3">
      <c r="B26" t="s">
        <v>55</v>
      </c>
      <c r="C26" s="1">
        <v>-66.900000000000006</v>
      </c>
      <c r="D26" s="1">
        <v>-65</v>
      </c>
      <c r="E26" s="1">
        <v>-51.8</v>
      </c>
      <c r="F26" s="1">
        <v>-95.4</v>
      </c>
      <c r="G26" s="1">
        <v>-75</v>
      </c>
      <c r="H26" s="1">
        <v>-25.1</v>
      </c>
      <c r="I26" s="1">
        <v>-56.8</v>
      </c>
      <c r="J26" s="1">
        <v>70</v>
      </c>
      <c r="K26" s="1">
        <v>34</v>
      </c>
      <c r="L26" s="1">
        <v>19</v>
      </c>
      <c r="M26" s="1">
        <v>7</v>
      </c>
      <c r="N26" s="1">
        <v>27</v>
      </c>
      <c r="O26" s="1">
        <v>54</v>
      </c>
      <c r="P26" s="1">
        <v>25</v>
      </c>
      <c r="Q26" s="1">
        <v>38</v>
      </c>
      <c r="R26" s="1">
        <v>26</v>
      </c>
      <c r="S26" s="1">
        <v>26</v>
      </c>
      <c r="T26" s="1">
        <v>36</v>
      </c>
      <c r="U26" s="1">
        <v>41</v>
      </c>
      <c r="V26" s="1">
        <v>22</v>
      </c>
      <c r="W26" s="1">
        <v>-38</v>
      </c>
      <c r="X26" s="1">
        <v>10</v>
      </c>
      <c r="Y26" s="1">
        <v>39</v>
      </c>
      <c r="Z26" s="1">
        <v>20</v>
      </c>
      <c r="AA26" s="1">
        <v>26</v>
      </c>
      <c r="AB26" s="1">
        <v>-89</v>
      </c>
      <c r="AC26" s="1">
        <v>25</v>
      </c>
      <c r="AD26" s="1">
        <v>15</v>
      </c>
      <c r="AE26" s="1">
        <v>15</v>
      </c>
      <c r="AF26" s="1">
        <v>16</v>
      </c>
      <c r="AG26" s="1">
        <v>16</v>
      </c>
      <c r="AH26" s="1">
        <v>15</v>
      </c>
      <c r="AI26" s="1">
        <v>11</v>
      </c>
      <c r="AJ26" s="1">
        <f t="shared" ref="AJ26:AL26" si="153">AJ24*0.008</f>
        <v>10.911867200000005</v>
      </c>
      <c r="AK26" s="1">
        <f t="shared" si="153"/>
        <v>12.047744000000016</v>
      </c>
      <c r="AL26" s="1">
        <f t="shared" si="153"/>
        <v>10.931860800000024</v>
      </c>
      <c r="AM26" s="1"/>
      <c r="AO26" s="2">
        <f t="shared" si="58"/>
        <v>-279.10000000000002</v>
      </c>
      <c r="AP26" s="2">
        <f t="shared" si="1"/>
        <v>-86.899999999999977</v>
      </c>
      <c r="AQ26" s="2">
        <f t="shared" si="2"/>
        <v>87</v>
      </c>
      <c r="AR26" s="2">
        <f t="shared" si="52"/>
        <v>143</v>
      </c>
      <c r="AS26" s="2">
        <f>SUM(S26:V26)</f>
        <v>125</v>
      </c>
      <c r="AT26" s="2">
        <f>SUM(W26:Z26)</f>
        <v>31</v>
      </c>
      <c r="AU26" s="2">
        <f>SUM(AA26:AD26)</f>
        <v>-23</v>
      </c>
      <c r="AV26" s="2">
        <f>SUM(AE26:AH26)</f>
        <v>62</v>
      </c>
      <c r="AW26" s="2">
        <f>AW24*0.01</f>
        <v>57.309765000000198</v>
      </c>
      <c r="AX26" s="2">
        <f t="shared" ref="AX26:BG26" si="154">AX24*0.01</f>
        <v>100.96158732000008</v>
      </c>
      <c r="AY26" s="2">
        <f t="shared" si="154"/>
        <v>110.2630638864</v>
      </c>
      <c r="AZ26" s="2">
        <f t="shared" si="154"/>
        <v>125.92822354118819</v>
      </c>
      <c r="BA26" s="2">
        <f t="shared" si="154"/>
        <v>139.51734008033671</v>
      </c>
      <c r="BB26" s="2">
        <f t="shared" si="154"/>
        <v>158.41171923772308</v>
      </c>
      <c r="BC26" s="2">
        <f t="shared" si="154"/>
        <v>170.32244472908536</v>
      </c>
      <c r="BD26" s="2">
        <f t="shared" si="154"/>
        <v>188.07813214430965</v>
      </c>
      <c r="BE26" s="2">
        <f t="shared" si="154"/>
        <v>201.92427921747523</v>
      </c>
      <c r="BF26" s="2">
        <f t="shared" si="154"/>
        <v>225.42663849406901</v>
      </c>
      <c r="BG26" s="2">
        <f t="shared" si="154"/>
        <v>239.90263734900131</v>
      </c>
    </row>
    <row r="27" spans="1:180" s="3" customFormat="1" x14ac:dyDescent="0.3">
      <c r="B27" s="3" t="s">
        <v>20</v>
      </c>
      <c r="C27" s="4">
        <f t="shared" ref="C27" si="155">C24-C25-C26</f>
        <v>-330</v>
      </c>
      <c r="D27" s="4">
        <f t="shared" ref="D27" si="156">D24-D25-D26</f>
        <v>-336.30000000000069</v>
      </c>
      <c r="E27" s="4">
        <f t="shared" ref="E27" si="157">E24-E25-E26</f>
        <v>-619.30000000000052</v>
      </c>
      <c r="F27" s="4">
        <f t="shared" ref="F27:G27" si="158">F24-F25-F26</f>
        <v>-675.3</v>
      </c>
      <c r="G27" s="4">
        <f t="shared" si="158"/>
        <v>-709.3000000000003</v>
      </c>
      <c r="H27" s="4">
        <f t="shared" ref="H27" si="159">H24-H25-H26</f>
        <v>-717.89999999999986</v>
      </c>
      <c r="I27" s="4">
        <f t="shared" ref="I27" si="160">I24-I25-I26</f>
        <v>311.00000000000125</v>
      </c>
      <c r="J27" s="4">
        <f t="shared" ref="J27:K27" si="161">J24-J25-J26</f>
        <v>139.90000000000003</v>
      </c>
      <c r="K27" s="4">
        <f t="shared" si="161"/>
        <v>-702</v>
      </c>
      <c r="L27" s="4">
        <f t="shared" ref="L27" si="162">L24-L25-L26</f>
        <v>-408</v>
      </c>
      <c r="M27" s="4">
        <f t="shared" ref="M27" si="163">M24-M25-M26</f>
        <v>143</v>
      </c>
      <c r="N27" s="4">
        <f t="shared" ref="N27" si="164">N24-N25-N26</f>
        <v>105</v>
      </c>
      <c r="O27" s="4">
        <f>O24-O25-O26</f>
        <v>14</v>
      </c>
      <c r="P27" s="4">
        <f t="shared" ref="P27:AO27" si="165">P24-P25-P26</f>
        <v>104</v>
      </c>
      <c r="Q27" s="4">
        <f t="shared" si="165"/>
        <v>331</v>
      </c>
      <c r="R27" s="4">
        <f t="shared" si="165"/>
        <v>270</v>
      </c>
      <c r="S27" s="4">
        <f t="shared" ref="S27:U27" si="166">S24-S25-S26</f>
        <v>438</v>
      </c>
      <c r="T27" s="4">
        <f t="shared" si="166"/>
        <v>1142</v>
      </c>
      <c r="U27" s="4">
        <f t="shared" si="166"/>
        <v>1618</v>
      </c>
      <c r="V27" s="4">
        <f t="shared" ref="V27" si="167">V24-V25-V26</f>
        <v>2321</v>
      </c>
      <c r="W27" s="4">
        <f t="shared" ref="W27" si="168">W24-W25-W26</f>
        <v>3318</v>
      </c>
      <c r="X27" s="4">
        <f t="shared" ref="X27" si="169">X24-X25-X26</f>
        <v>2259</v>
      </c>
      <c r="Y27" s="4">
        <f t="shared" ref="Y27" si="170">Y24-Y25-Y26</f>
        <v>3292</v>
      </c>
      <c r="Z27" s="4">
        <f t="shared" ref="Z27" si="171">Z24-Z25-Z26</f>
        <v>3687</v>
      </c>
      <c r="AA27" s="4">
        <f t="shared" ref="AA27" si="172">AA24-AA25-AA26</f>
        <v>2513</v>
      </c>
      <c r="AB27" s="4">
        <f t="shared" ref="AB27:AC27" si="173">AB24-AB25-AB26</f>
        <v>2703</v>
      </c>
      <c r="AC27" s="4">
        <f t="shared" si="173"/>
        <v>1853</v>
      </c>
      <c r="AD27" s="4">
        <f t="shared" ref="AD27:AE27" si="174">AD24-AD25-AD26</f>
        <v>7928</v>
      </c>
      <c r="AE27" s="4">
        <f t="shared" si="174"/>
        <v>1129</v>
      </c>
      <c r="AF27" s="4">
        <f t="shared" ref="AF27:AH27" si="175">AF24-AF25-AF26</f>
        <v>1478</v>
      </c>
      <c r="AG27" s="4">
        <f t="shared" si="175"/>
        <v>2167</v>
      </c>
      <c r="AH27" s="4">
        <f t="shared" si="175"/>
        <v>2317</v>
      </c>
      <c r="AI27" s="4">
        <f t="shared" ref="AI27:AL27" si="176">AI24-AI25-AI26</f>
        <v>409</v>
      </c>
      <c r="AJ27" s="4">
        <f t="shared" si="176"/>
        <v>1080.2748528000004</v>
      </c>
      <c r="AK27" s="4">
        <f t="shared" si="176"/>
        <v>1192.7266560000016</v>
      </c>
      <c r="AL27" s="4">
        <f t="shared" si="176"/>
        <v>1082.2542192000024</v>
      </c>
      <c r="AM27" s="4"/>
      <c r="AO27" s="4">
        <f t="shared" si="165"/>
        <v>-1960.900000000001</v>
      </c>
      <c r="AP27" s="4">
        <f t="shared" ref="AP27" si="177">AP24-AP25-AP26</f>
        <v>-976.2999999999987</v>
      </c>
      <c r="AQ27" s="4">
        <f t="shared" ref="AQ27" si="178">AQ24-AQ25-AQ26</f>
        <v>-862</v>
      </c>
      <c r="AR27" s="4">
        <f t="shared" ref="AR27" si="179">AR24-AR25-AR26</f>
        <v>719</v>
      </c>
      <c r="AS27" s="4">
        <f t="shared" ref="AS27:AT27" si="180">AS24-AS25-AS26</f>
        <v>5519</v>
      </c>
      <c r="AT27" s="4">
        <f t="shared" si="180"/>
        <v>12556</v>
      </c>
      <c r="AU27" s="4">
        <f t="shared" ref="AU27" si="181">AU24-AU25-AU26</f>
        <v>14997</v>
      </c>
      <c r="AV27" s="4">
        <f t="shared" ref="AV27" si="182">AV24-AV25-AV26</f>
        <v>7091</v>
      </c>
      <c r="AW27" s="4">
        <f t="shared" ref="AW27" si="183">AW24-AW25-AW26</f>
        <v>4527.4714350000158</v>
      </c>
      <c r="AX27" s="4">
        <f t="shared" ref="AX27" si="184">AX24-AX25-AX26</f>
        <v>7975.9653982800055</v>
      </c>
      <c r="AY27" s="4">
        <f t="shared" ref="AY27" si="185">AY24-AY25-AY26</f>
        <v>8710.7820470256011</v>
      </c>
      <c r="AZ27" s="4">
        <f t="shared" ref="AZ27" si="186">AZ24-AZ25-AZ26</f>
        <v>9948.3296597538665</v>
      </c>
      <c r="BA27" s="4">
        <f t="shared" ref="BA27" si="187">BA24-BA25-BA26</f>
        <v>11021.8698663466</v>
      </c>
      <c r="BB27" s="4">
        <f t="shared" ref="BB27:BG27" si="188">BB24-BB25-BB26</f>
        <v>12514.525819780123</v>
      </c>
      <c r="BC27" s="4">
        <f t="shared" si="188"/>
        <v>13455.473133597745</v>
      </c>
      <c r="BD27" s="4">
        <f t="shared" si="188"/>
        <v>14858.172439400461</v>
      </c>
      <c r="BE27" s="4">
        <f t="shared" si="188"/>
        <v>15952.018058180543</v>
      </c>
      <c r="BF27" s="4">
        <f t="shared" si="188"/>
        <v>17808.704441031452</v>
      </c>
      <c r="BG27" s="4">
        <f t="shared" si="188"/>
        <v>18952.308350571104</v>
      </c>
      <c r="BH27" s="3">
        <f t="shared" ref="BH27:CM27" si="189">BG27*(1+$BJ$30)</f>
        <v>18762.785267065392</v>
      </c>
      <c r="BI27" s="3">
        <f t="shared" si="189"/>
        <v>18575.157414394736</v>
      </c>
      <c r="BJ27" s="3">
        <f t="shared" si="189"/>
        <v>18389.405840250787</v>
      </c>
      <c r="BK27" s="3">
        <f t="shared" si="189"/>
        <v>18205.511781848279</v>
      </c>
      <c r="BL27" s="3">
        <f t="shared" si="189"/>
        <v>18023.456664029796</v>
      </c>
      <c r="BM27" s="3">
        <f t="shared" si="189"/>
        <v>17843.222097389498</v>
      </c>
      <c r="BN27" s="3">
        <f t="shared" si="189"/>
        <v>17664.789876415602</v>
      </c>
      <c r="BO27" s="3">
        <f t="shared" si="189"/>
        <v>17488.141977651445</v>
      </c>
      <c r="BP27" s="3">
        <f t="shared" si="189"/>
        <v>17313.260557874932</v>
      </c>
      <c r="BQ27" s="3">
        <f t="shared" si="189"/>
        <v>17140.127952296181</v>
      </c>
      <c r="BR27" s="3">
        <f t="shared" si="189"/>
        <v>16968.72667277322</v>
      </c>
      <c r="BS27" s="3">
        <f t="shared" si="189"/>
        <v>16799.039406045489</v>
      </c>
      <c r="BT27" s="3">
        <f t="shared" si="189"/>
        <v>16631.049011985033</v>
      </c>
      <c r="BU27" s="3">
        <f t="shared" si="189"/>
        <v>16464.738521865183</v>
      </c>
      <c r="BV27" s="3">
        <f t="shared" si="189"/>
        <v>16300.091136646532</v>
      </c>
      <c r="BW27" s="3">
        <f t="shared" si="189"/>
        <v>16137.090225280066</v>
      </c>
      <c r="BX27" s="3">
        <f t="shared" si="189"/>
        <v>15975.719323027266</v>
      </c>
      <c r="BY27" s="3">
        <f t="shared" si="189"/>
        <v>15815.962129796993</v>
      </c>
      <c r="BZ27" s="3">
        <f t="shared" si="189"/>
        <v>15657.802508499024</v>
      </c>
      <c r="CA27" s="3">
        <f t="shared" si="189"/>
        <v>15501.224483414033</v>
      </c>
      <c r="CB27" s="3">
        <f t="shared" si="189"/>
        <v>15346.212238579892</v>
      </c>
      <c r="CC27" s="3">
        <f t="shared" si="189"/>
        <v>15192.750116194093</v>
      </c>
      <c r="CD27" s="3">
        <f t="shared" si="189"/>
        <v>15040.822615032152</v>
      </c>
      <c r="CE27" s="3">
        <f t="shared" si="189"/>
        <v>14890.414388881831</v>
      </c>
      <c r="CF27" s="3">
        <f t="shared" si="189"/>
        <v>14741.510244993013</v>
      </c>
      <c r="CG27" s="3">
        <f t="shared" si="189"/>
        <v>14594.095142543083</v>
      </c>
      <c r="CH27" s="3">
        <f t="shared" si="189"/>
        <v>14448.154191117652</v>
      </c>
      <c r="CI27" s="3">
        <f t="shared" si="189"/>
        <v>14303.672649206475</v>
      </c>
      <c r="CJ27" s="3">
        <f t="shared" si="189"/>
        <v>14160.635922714411</v>
      </c>
      <c r="CK27" s="3">
        <f t="shared" si="189"/>
        <v>14019.029563487267</v>
      </c>
      <c r="CL27" s="3">
        <f t="shared" si="189"/>
        <v>13878.839267852394</v>
      </c>
      <c r="CM27" s="3">
        <f t="shared" si="189"/>
        <v>13740.050875173871</v>
      </c>
      <c r="CN27" s="3">
        <f t="shared" ref="CN27:DS27" si="190">CM27*(1+$BJ$30)</f>
        <v>13602.650366422133</v>
      </c>
      <c r="CO27" s="3">
        <f t="shared" si="190"/>
        <v>13466.623862757911</v>
      </c>
      <c r="CP27" s="3">
        <f t="shared" si="190"/>
        <v>13331.957624130333</v>
      </c>
      <c r="CQ27" s="3">
        <f t="shared" si="190"/>
        <v>13198.63804788903</v>
      </c>
      <c r="CR27" s="3">
        <f t="shared" si="190"/>
        <v>13066.651667410139</v>
      </c>
      <c r="CS27" s="3">
        <f t="shared" si="190"/>
        <v>12935.985150736036</v>
      </c>
      <c r="CT27" s="3">
        <f t="shared" si="190"/>
        <v>12806.625299228675</v>
      </c>
      <c r="CU27" s="3">
        <f t="shared" si="190"/>
        <v>12678.559046236389</v>
      </c>
      <c r="CV27" s="3">
        <f t="shared" si="190"/>
        <v>12551.773455774024</v>
      </c>
      <c r="CW27" s="3">
        <f t="shared" si="190"/>
        <v>12426.255721216285</v>
      </c>
      <c r="CX27" s="3">
        <f t="shared" si="190"/>
        <v>12301.993164004121</v>
      </c>
      <c r="CY27" s="3">
        <f t="shared" si="190"/>
        <v>12178.97323236408</v>
      </c>
      <c r="CZ27" s="3">
        <f t="shared" si="190"/>
        <v>12057.183500040439</v>
      </c>
      <c r="DA27" s="3">
        <f t="shared" si="190"/>
        <v>11936.611665040034</v>
      </c>
      <c r="DB27" s="3">
        <f t="shared" si="190"/>
        <v>11817.245548389634</v>
      </c>
      <c r="DC27" s="3">
        <f t="shared" si="190"/>
        <v>11699.073092905737</v>
      </c>
      <c r="DD27" s="3">
        <f t="shared" si="190"/>
        <v>11582.08236197668</v>
      </c>
      <c r="DE27" s="3">
        <f t="shared" si="190"/>
        <v>11466.261538356914</v>
      </c>
      <c r="DF27" s="3">
        <f t="shared" si="190"/>
        <v>11351.598922973344</v>
      </c>
      <c r="DG27" s="3">
        <f t="shared" si="190"/>
        <v>11238.08293374361</v>
      </c>
      <c r="DH27" s="3">
        <f t="shared" si="190"/>
        <v>11125.702104406173</v>
      </c>
      <c r="DI27" s="3">
        <f t="shared" si="190"/>
        <v>11014.44508336211</v>
      </c>
      <c r="DJ27" s="3">
        <f t="shared" si="190"/>
        <v>10904.30063252849</v>
      </c>
      <c r="DK27" s="3">
        <f t="shared" si="190"/>
        <v>10795.257626203205</v>
      </c>
      <c r="DL27" s="3">
        <f t="shared" si="190"/>
        <v>10687.305049941173</v>
      </c>
      <c r="DM27" s="3">
        <f t="shared" si="190"/>
        <v>10580.431999441762</v>
      </c>
      <c r="DN27" s="3">
        <f t="shared" si="190"/>
        <v>10474.627679447343</v>
      </c>
      <c r="DO27" s="3">
        <f t="shared" si="190"/>
        <v>10369.881402652869</v>
      </c>
      <c r="DP27" s="3">
        <f t="shared" si="190"/>
        <v>10266.18258862634</v>
      </c>
      <c r="DQ27" s="3">
        <f t="shared" si="190"/>
        <v>10163.520762740076</v>
      </c>
      <c r="DR27" s="3">
        <f t="shared" si="190"/>
        <v>10061.885555112674</v>
      </c>
      <c r="DS27" s="3">
        <f t="shared" si="190"/>
        <v>9961.2666995615473</v>
      </c>
      <c r="DT27" s="3">
        <f t="shared" ref="DT27:EY27" si="191">DS27*(1+$BJ$30)</f>
        <v>9861.6540325659316</v>
      </c>
      <c r="DU27" s="3">
        <f t="shared" si="191"/>
        <v>9763.0374922402716</v>
      </c>
      <c r="DV27" s="3">
        <f t="shared" si="191"/>
        <v>9665.4071173178691</v>
      </c>
      <c r="DW27" s="3">
        <f t="shared" si="191"/>
        <v>9568.7530461446895</v>
      </c>
      <c r="DX27" s="3">
        <f t="shared" si="191"/>
        <v>9473.0655156832418</v>
      </c>
      <c r="DY27" s="3">
        <f t="shared" si="191"/>
        <v>9378.3348605264091</v>
      </c>
      <c r="DZ27" s="3">
        <f t="shared" si="191"/>
        <v>9284.551511921145</v>
      </c>
      <c r="EA27" s="3">
        <f t="shared" si="191"/>
        <v>9191.705996801933</v>
      </c>
      <c r="EB27" s="3">
        <f t="shared" si="191"/>
        <v>9099.7889368339129</v>
      </c>
      <c r="EC27" s="3">
        <f t="shared" si="191"/>
        <v>9008.7910474655728</v>
      </c>
      <c r="ED27" s="3">
        <f t="shared" si="191"/>
        <v>8918.7031369909164</v>
      </c>
      <c r="EE27" s="3">
        <f t="shared" si="191"/>
        <v>8829.5161056210072</v>
      </c>
      <c r="EF27" s="3">
        <f t="shared" si="191"/>
        <v>8741.2209445647968</v>
      </c>
      <c r="EG27" s="3">
        <f t="shared" si="191"/>
        <v>8653.808735119148</v>
      </c>
      <c r="EH27" s="3">
        <f t="shared" si="191"/>
        <v>8567.2706477679567</v>
      </c>
      <c r="EI27" s="3">
        <f t="shared" si="191"/>
        <v>8481.5979412902761</v>
      </c>
      <c r="EJ27" s="3">
        <f t="shared" si="191"/>
        <v>8396.7819618773738</v>
      </c>
      <c r="EK27" s="3">
        <f t="shared" si="191"/>
        <v>8312.8141422585995</v>
      </c>
      <c r="EL27" s="3">
        <f t="shared" si="191"/>
        <v>8229.6860008360127</v>
      </c>
      <c r="EM27" s="3">
        <f t="shared" si="191"/>
        <v>8147.3891408276522</v>
      </c>
      <c r="EN27" s="3">
        <f t="shared" si="191"/>
        <v>8065.9152494193759</v>
      </c>
      <c r="EO27" s="3">
        <f t="shared" si="191"/>
        <v>7985.2560969251817</v>
      </c>
      <c r="EP27" s="3">
        <f t="shared" si="191"/>
        <v>7905.4035359559302</v>
      </c>
      <c r="EQ27" s="3">
        <f t="shared" si="191"/>
        <v>7826.3495005963705</v>
      </c>
      <c r="ER27" s="3">
        <f t="shared" si="191"/>
        <v>7748.0860055904068</v>
      </c>
      <c r="ES27" s="3">
        <f t="shared" si="191"/>
        <v>7670.6051455345023</v>
      </c>
      <c r="ET27" s="3">
        <f t="shared" si="191"/>
        <v>7593.8990940791573</v>
      </c>
      <c r="EU27" s="3">
        <f t="shared" si="191"/>
        <v>7517.9601031383654</v>
      </c>
      <c r="EV27" s="3">
        <f t="shared" si="191"/>
        <v>7442.7805021069817</v>
      </c>
      <c r="EW27" s="3">
        <f t="shared" si="191"/>
        <v>7368.352697085912</v>
      </c>
      <c r="EX27" s="3">
        <f t="shared" si="191"/>
        <v>7294.669170115053</v>
      </c>
      <c r="EY27" s="3">
        <f t="shared" si="191"/>
        <v>7221.7224784139025</v>
      </c>
      <c r="EZ27" s="3">
        <f t="shared" ref="EZ27:FX27" si="192">EY27*(1+$BJ$30)</f>
        <v>7149.5052536297635</v>
      </c>
      <c r="FA27" s="3">
        <f t="shared" si="192"/>
        <v>7078.0102010934661</v>
      </c>
      <c r="FB27" s="3">
        <f t="shared" si="192"/>
        <v>7007.2300990825315</v>
      </c>
      <c r="FC27" s="3">
        <f t="shared" si="192"/>
        <v>6937.1577980917064</v>
      </c>
      <c r="FD27" s="3">
        <f t="shared" si="192"/>
        <v>6867.7862201107891</v>
      </c>
      <c r="FE27" s="3">
        <f t="shared" si="192"/>
        <v>6799.1083579096812</v>
      </c>
      <c r="FF27" s="3">
        <f t="shared" si="192"/>
        <v>6731.1172743305842</v>
      </c>
      <c r="FG27" s="3">
        <f t="shared" si="192"/>
        <v>6663.8061015872781</v>
      </c>
      <c r="FH27" s="3">
        <f t="shared" si="192"/>
        <v>6597.1680405714051</v>
      </c>
      <c r="FI27" s="3">
        <f t="shared" si="192"/>
        <v>6531.1963601656907</v>
      </c>
      <c r="FJ27" s="3">
        <f t="shared" si="192"/>
        <v>6465.8843965640335</v>
      </c>
      <c r="FK27" s="3">
        <f t="shared" si="192"/>
        <v>6401.2255525983928</v>
      </c>
      <c r="FL27" s="3">
        <f t="shared" si="192"/>
        <v>6337.2132970724087</v>
      </c>
      <c r="FM27" s="3">
        <f t="shared" si="192"/>
        <v>6273.8411641016846</v>
      </c>
      <c r="FN27" s="3">
        <f t="shared" si="192"/>
        <v>6211.1027524606679</v>
      </c>
      <c r="FO27" s="3">
        <f t="shared" si="192"/>
        <v>6148.9917249360615</v>
      </c>
      <c r="FP27" s="3">
        <f t="shared" si="192"/>
        <v>6087.5018076867009</v>
      </c>
      <c r="FQ27" s="3">
        <f t="shared" si="192"/>
        <v>6026.6267896098334</v>
      </c>
      <c r="FR27" s="3">
        <f t="shared" si="192"/>
        <v>5966.3605217137347</v>
      </c>
      <c r="FS27" s="3">
        <f t="shared" si="192"/>
        <v>5906.6969164965976</v>
      </c>
      <c r="FT27" s="3">
        <f t="shared" si="192"/>
        <v>5847.6299473316312</v>
      </c>
      <c r="FU27" s="3">
        <f t="shared" si="192"/>
        <v>5789.1536478583148</v>
      </c>
      <c r="FV27" s="3">
        <f t="shared" si="192"/>
        <v>5731.2621113797313</v>
      </c>
      <c r="FW27" s="3">
        <f t="shared" si="192"/>
        <v>5673.9494902659344</v>
      </c>
      <c r="FX27" s="3">
        <f t="shared" si="192"/>
        <v>5617.2099953632751</v>
      </c>
    </row>
    <row r="28" spans="1:180" x14ac:dyDescent="0.3">
      <c r="B28" t="s">
        <v>22</v>
      </c>
      <c r="C28" s="1">
        <v>162.1</v>
      </c>
      <c r="D28" s="1">
        <v>165.2</v>
      </c>
      <c r="E28" s="1">
        <v>167.2</v>
      </c>
      <c r="F28" s="1">
        <v>168.3</v>
      </c>
      <c r="G28" s="1">
        <v>169.1</v>
      </c>
      <c r="H28" s="1">
        <v>169.9</v>
      </c>
      <c r="I28" s="1">
        <v>170.8</v>
      </c>
      <c r="J28" s="1">
        <v>172</v>
      </c>
      <c r="K28" s="1">
        <v>173</v>
      </c>
      <c r="L28" s="1">
        <v>177</v>
      </c>
      <c r="M28" s="1">
        <v>177</v>
      </c>
      <c r="N28" s="1">
        <v>183</v>
      </c>
      <c r="O28" s="1">
        <v>183</v>
      </c>
      <c r="P28" s="1">
        <v>186</v>
      </c>
      <c r="Q28" s="1">
        <f>186*5</f>
        <v>930</v>
      </c>
      <c r="R28" s="1">
        <f>186*5</f>
        <v>930</v>
      </c>
      <c r="S28" s="1">
        <f t="shared" ref="S28" si="193">186*5</f>
        <v>930</v>
      </c>
      <c r="T28" s="1">
        <v>3186</v>
      </c>
      <c r="U28" s="1">
        <v>3186</v>
      </c>
      <c r="V28" s="1">
        <v>3186</v>
      </c>
      <c r="W28" s="1">
        <v>3186</v>
      </c>
      <c r="X28" s="1">
        <v>3186</v>
      </c>
      <c r="Y28" s="1">
        <v>3186</v>
      </c>
      <c r="Z28" s="1">
        <v>3186</v>
      </c>
      <c r="AA28" s="1">
        <v>3166</v>
      </c>
      <c r="AB28" s="1">
        <v>3171</v>
      </c>
      <c r="AC28" s="1">
        <v>3176</v>
      </c>
      <c r="AD28" s="1">
        <v>3181</v>
      </c>
      <c r="AE28" s="1">
        <v>3186</v>
      </c>
      <c r="AF28" s="2">
        <v>3194.6</v>
      </c>
      <c r="AG28" s="2">
        <v>3198</v>
      </c>
      <c r="AH28" s="2">
        <v>3198</v>
      </c>
      <c r="AI28" s="2">
        <f>3221</f>
        <v>3221</v>
      </c>
      <c r="AJ28" s="2">
        <f>3221</f>
        <v>3221</v>
      </c>
      <c r="AK28" s="2">
        <f>3221</f>
        <v>3221</v>
      </c>
      <c r="AL28" s="2">
        <f>3221</f>
        <v>3221</v>
      </c>
      <c r="AM28" s="1"/>
      <c r="AO28" s="2">
        <f>AVERAGE(C28:F28)</f>
        <v>165.7</v>
      </c>
      <c r="AP28" s="2">
        <f>AVERAGE(G28:J28)</f>
        <v>170.45</v>
      </c>
      <c r="AQ28" s="2">
        <f>AVERAGE(K28:N28)</f>
        <v>177.5</v>
      </c>
      <c r="AR28" s="2">
        <v>930</v>
      </c>
      <c r="AS28" s="2">
        <v>930</v>
      </c>
      <c r="AT28" s="2">
        <v>930</v>
      </c>
      <c r="AU28" s="2">
        <v>3186</v>
      </c>
      <c r="AV28" s="2">
        <v>3198</v>
      </c>
      <c r="AW28" s="2">
        <f>3221</f>
        <v>3221</v>
      </c>
      <c r="AX28" s="2">
        <f>3221</f>
        <v>3221</v>
      </c>
      <c r="AY28" s="2">
        <f>3221</f>
        <v>3221</v>
      </c>
      <c r="AZ28" s="2">
        <f>3221</f>
        <v>3221</v>
      </c>
      <c r="BA28" s="2">
        <f>3221</f>
        <v>3221</v>
      </c>
      <c r="BB28" s="2">
        <f>3221</f>
        <v>3221</v>
      </c>
      <c r="BC28" s="2">
        <f>3221</f>
        <v>3221</v>
      </c>
      <c r="BD28" s="2">
        <f>3221</f>
        <v>3221</v>
      </c>
      <c r="BE28" s="2">
        <f>3221</f>
        <v>3221</v>
      </c>
      <c r="BF28" s="2">
        <f>3221</f>
        <v>3221</v>
      </c>
      <c r="BG28" s="2">
        <f>3221</f>
        <v>3221</v>
      </c>
    </row>
    <row r="29" spans="1:180" s="3" customFormat="1" x14ac:dyDescent="0.3">
      <c r="B29" s="3" t="s">
        <v>21</v>
      </c>
      <c r="C29" s="5">
        <f t="shared" ref="C29:E29" si="194">C27/C28</f>
        <v>-2.0357803824799507</v>
      </c>
      <c r="D29" s="5">
        <f t="shared" si="194"/>
        <v>-2.03571428571429</v>
      </c>
      <c r="E29" s="5">
        <f t="shared" si="194"/>
        <v>-3.7039473684210562</v>
      </c>
      <c r="F29" s="5">
        <f t="shared" ref="F29:I29" si="195">F27/F28</f>
        <v>-4.0124777183600706</v>
      </c>
      <c r="G29" s="5">
        <f t="shared" si="195"/>
        <v>-4.1945594322885889</v>
      </c>
      <c r="H29" s="5">
        <f t="shared" si="195"/>
        <v>-4.2254267216009405</v>
      </c>
      <c r="I29" s="5">
        <f t="shared" si="195"/>
        <v>1.8208430913349019</v>
      </c>
      <c r="J29" s="5">
        <f t="shared" ref="J29:R29" si="196">J27/J28</f>
        <v>0.81337209302325597</v>
      </c>
      <c r="K29" s="5">
        <f t="shared" si="196"/>
        <v>-4.0578034682080926</v>
      </c>
      <c r="L29" s="5">
        <f t="shared" si="196"/>
        <v>-2.3050847457627119</v>
      </c>
      <c r="M29" s="5">
        <f t="shared" si="196"/>
        <v>0.80790960451977401</v>
      </c>
      <c r="N29" s="5">
        <f t="shared" si="196"/>
        <v>0.57377049180327866</v>
      </c>
      <c r="O29" s="5">
        <f t="shared" si="196"/>
        <v>7.650273224043716E-2</v>
      </c>
      <c r="P29" s="5">
        <f t="shared" si="196"/>
        <v>0.55913978494623651</v>
      </c>
      <c r="Q29" s="5">
        <f t="shared" si="196"/>
        <v>0.35591397849462364</v>
      </c>
      <c r="R29" s="5">
        <f t="shared" si="196"/>
        <v>0.29032258064516131</v>
      </c>
      <c r="S29" s="5">
        <f t="shared" ref="S29:U29" si="197">S27/S28</f>
        <v>0.47096774193548385</v>
      </c>
      <c r="T29" s="5">
        <f t="shared" si="197"/>
        <v>0.35844318895166355</v>
      </c>
      <c r="U29" s="5">
        <f t="shared" si="197"/>
        <v>0.50784682988072816</v>
      </c>
      <c r="V29" s="5">
        <f t="shared" ref="V29" si="198">V27/V28</f>
        <v>0.72849968612680482</v>
      </c>
      <c r="W29" s="5">
        <f t="shared" ref="W29" si="199">W27/W28</f>
        <v>1.0414312617702448</v>
      </c>
      <c r="X29" s="5">
        <f t="shared" ref="X29" si="200">X27/X28</f>
        <v>0.70903954802259883</v>
      </c>
      <c r="Y29" s="5">
        <f t="shared" ref="Y29" si="201">Y27/Y28</f>
        <v>1.0332705586942874</v>
      </c>
      <c r="Z29" s="5">
        <f t="shared" ref="Z29" si="202">Z27/Z28</f>
        <v>1.1572504708097928</v>
      </c>
      <c r="AA29" s="5">
        <f t="shared" ref="AA29" si="203">AA27/AA28</f>
        <v>0.79374605180037905</v>
      </c>
      <c r="AB29" s="5">
        <f t="shared" ref="AB29:AC29" si="204">AB27/AB28</f>
        <v>0.85241248817407755</v>
      </c>
      <c r="AC29" s="5">
        <f t="shared" si="204"/>
        <v>0.58343828715365242</v>
      </c>
      <c r="AD29" s="5">
        <f t="shared" ref="AD29:AE29" si="205">AD27/AD28</f>
        <v>2.4922980194907263</v>
      </c>
      <c r="AE29" s="5">
        <f t="shared" si="205"/>
        <v>0.35436283741368485</v>
      </c>
      <c r="AF29" s="5">
        <f t="shared" ref="AF29:AH29" si="206">AF27/AF28</f>
        <v>0.46265573154698553</v>
      </c>
      <c r="AG29" s="5">
        <f t="shared" si="206"/>
        <v>0.67761100687929954</v>
      </c>
      <c r="AH29" s="5">
        <f t="shared" si="206"/>
        <v>0.72451532207629765</v>
      </c>
      <c r="AI29" s="5">
        <f t="shared" ref="AI29:AL29" si="207">AI27/AI28</f>
        <v>0.12697919900651972</v>
      </c>
      <c r="AJ29" s="5">
        <f t="shared" si="207"/>
        <v>0.33538492791058688</v>
      </c>
      <c r="AK29" s="5">
        <f t="shared" si="207"/>
        <v>0.37029700589878972</v>
      </c>
      <c r="AL29" s="5">
        <f t="shared" si="207"/>
        <v>0.33599944712822177</v>
      </c>
      <c r="AM29" s="5"/>
      <c r="AO29" s="5">
        <f t="shared" ref="AO29:AW29" si="208">AO27/AO28</f>
        <v>-11.834037417018715</v>
      </c>
      <c r="AP29" s="5">
        <f t="shared" si="208"/>
        <v>-5.7277794074508579</v>
      </c>
      <c r="AQ29" s="5">
        <f t="shared" si="208"/>
        <v>-4.8563380281690138</v>
      </c>
      <c r="AR29" s="5">
        <f t="shared" si="208"/>
        <v>0.77311827956989243</v>
      </c>
      <c r="AS29" s="5">
        <f t="shared" si="208"/>
        <v>5.9344086021505378</v>
      </c>
      <c r="AT29" s="5">
        <f t="shared" ref="AT29:AU29" si="209">AT27/AT28</f>
        <v>13.501075268817205</v>
      </c>
      <c r="AU29" s="5">
        <f t="shared" si="209"/>
        <v>4.707156308851224</v>
      </c>
      <c r="AV29" s="5">
        <f t="shared" si="208"/>
        <v>2.2173233270794248</v>
      </c>
      <c r="AW29" s="5">
        <f t="shared" si="208"/>
        <v>1.4056105045017124</v>
      </c>
      <c r="AX29" s="5">
        <f t="shared" ref="AX29:BB29" si="210">AX27/AX28</f>
        <v>2.4762388693821813</v>
      </c>
      <c r="AY29" s="5">
        <f t="shared" si="210"/>
        <v>2.7043719487816209</v>
      </c>
      <c r="AZ29" s="5">
        <f t="shared" si="210"/>
        <v>3.0885841849592879</v>
      </c>
      <c r="BA29" s="5">
        <f t="shared" si="210"/>
        <v>3.4218782571706301</v>
      </c>
      <c r="BB29" s="5">
        <f t="shared" si="210"/>
        <v>3.8852920893449623</v>
      </c>
      <c r="BC29" s="5">
        <f t="shared" ref="BC29:BG29" si="211">BC27/BC28</f>
        <v>4.1774210287481353</v>
      </c>
      <c r="BD29" s="5">
        <f t="shared" si="211"/>
        <v>4.6129066871780386</v>
      </c>
      <c r="BE29" s="5">
        <f t="shared" si="211"/>
        <v>4.9525048302330159</v>
      </c>
      <c r="BF29" s="5">
        <f t="shared" si="211"/>
        <v>5.5289364920929689</v>
      </c>
      <c r="BG29" s="5">
        <f t="shared" si="211"/>
        <v>5.8839827229342143</v>
      </c>
    </row>
    <row r="30" spans="1:180" x14ac:dyDescent="0.3">
      <c r="BI30" t="s">
        <v>50</v>
      </c>
      <c r="BJ30" s="9">
        <v>-0.01</v>
      </c>
    </row>
    <row r="31" spans="1:180" x14ac:dyDescent="0.3">
      <c r="A31" s="8"/>
      <c r="B31" s="8" t="s">
        <v>84</v>
      </c>
      <c r="C31" s="7"/>
      <c r="D31" s="8"/>
      <c r="E31" s="8"/>
      <c r="F31" s="8"/>
      <c r="G31" s="9">
        <f t="shared" ref="G31:AH31" si="212">G3/C3-1</f>
        <v>0.25886977886977891</v>
      </c>
      <c r="H31" s="9">
        <f t="shared" si="212"/>
        <v>0.54821730062568297</v>
      </c>
      <c r="I31" s="9">
        <f t="shared" si="212"/>
        <v>1.8307329288259657</v>
      </c>
      <c r="J31" s="9">
        <f t="shared" si="212"/>
        <v>1.5210244489643436</v>
      </c>
      <c r="K31" s="9">
        <f t="shared" si="212"/>
        <v>0.3697400265438362</v>
      </c>
      <c r="L31" s="9">
        <f t="shared" si="212"/>
        <v>0.6575790621592148</v>
      </c>
      <c r="M31" s="9">
        <f t="shared" si="212"/>
        <v>-0.12695847438885399</v>
      </c>
      <c r="N31" s="9">
        <f t="shared" si="212"/>
        <v>1.145980834458471E-2</v>
      </c>
      <c r="O31" s="9">
        <f t="shared" si="212"/>
        <v>0.39441436306640076</v>
      </c>
      <c r="P31" s="9">
        <f t="shared" si="212"/>
        <v>-4.9729102167182626E-2</v>
      </c>
      <c r="Q31" s="9">
        <f t="shared" si="212"/>
        <v>0.43141075604053003</v>
      </c>
      <c r="R31" s="9">
        <f t="shared" si="212"/>
        <v>0.4706169623962233</v>
      </c>
      <c r="S31" s="9">
        <f t="shared" si="212"/>
        <v>0.77907214387901091</v>
      </c>
      <c r="T31" s="9">
        <f t="shared" si="212"/>
        <v>0.9385053960496843</v>
      </c>
      <c r="U31" s="9">
        <f t="shared" si="212"/>
        <v>0.55091206098557044</v>
      </c>
      <c r="V31" s="9">
        <f t="shared" si="212"/>
        <v>0.66316139030329868</v>
      </c>
      <c r="W31" s="9">
        <f t="shared" si="212"/>
        <v>0.78219414129810461</v>
      </c>
      <c r="X31" s="9">
        <f t="shared" si="212"/>
        <v>0.43592436974789917</v>
      </c>
      <c r="Y31" s="9">
        <f t="shared" si="212"/>
        <v>0.561046256473273</v>
      </c>
      <c r="Z31" s="9">
        <f t="shared" si="212"/>
        <v>0.34715474209650576</v>
      </c>
      <c r="AA31" s="9">
        <f t="shared" si="212"/>
        <v>0.21683640582699493</v>
      </c>
      <c r="AB31" s="9">
        <f t="shared" si="212"/>
        <v>0.49370885149963417</v>
      </c>
      <c r="AC31" s="9">
        <f t="shared" si="212"/>
        <v>4.4813044700590332E-2</v>
      </c>
      <c r="AD31" s="9">
        <f t="shared" si="212"/>
        <v>1.9218418062348697E-2</v>
      </c>
      <c r="AE31" s="9">
        <f t="shared" si="212"/>
        <v>-0.12808560228837795</v>
      </c>
      <c r="AF31" s="9">
        <f t="shared" si="212"/>
        <v>-9.2511876193741127E-2</v>
      </c>
      <c r="AG31" s="9">
        <f t="shared" si="212"/>
        <v>1.3400064578624526E-2</v>
      </c>
      <c r="AH31" s="9">
        <f t="shared" si="212"/>
        <v>-9.5540475036354877E-2</v>
      </c>
      <c r="AI31" s="9">
        <f t="shared" ref="AI31:AI33" si="213">AI3/AE3-1</f>
        <v>-0.21476306196840822</v>
      </c>
      <c r="AJ31" s="9">
        <f t="shared" ref="AJ31:AJ33" si="214">AJ3/AF3-1</f>
        <v>-0.25</v>
      </c>
      <c r="AK31" s="9">
        <f t="shared" ref="AK31:AK33" si="215">AK3/AG3-1</f>
        <v>-0.19999999999999996</v>
      </c>
      <c r="AL31" s="9">
        <f t="shared" ref="AL31:AL33" si="216">AL3/AH3-1</f>
        <v>-0.15000000000000002</v>
      </c>
      <c r="AM31" s="7"/>
      <c r="AN31" s="8"/>
      <c r="AO31" s="8"/>
      <c r="AP31" s="9">
        <f t="shared" ref="AP31:BG31" si="217">AP3/AO3-1</f>
        <v>1.0658855234635891</v>
      </c>
      <c r="AQ31" s="9">
        <f t="shared" si="217"/>
        <v>0.13162387345232607</v>
      </c>
      <c r="AR31" s="9">
        <f t="shared" si="217"/>
        <v>0.31234963913392133</v>
      </c>
      <c r="AS31" s="9">
        <f t="shared" si="217"/>
        <v>0.70497250229147568</v>
      </c>
      <c r="AT31" s="9">
        <f t="shared" si="217"/>
        <v>0.50549918240261627</v>
      </c>
      <c r="AU31" s="9">
        <f t="shared" si="217"/>
        <v>0.16811486385954466</v>
      </c>
      <c r="AV31" s="9">
        <f t="shared" si="217"/>
        <v>-7.6793743392477243E-2</v>
      </c>
      <c r="AW31" s="9">
        <f t="shared" si="217"/>
        <v>-0.20326365894039733</v>
      </c>
      <c r="AX31" s="9">
        <f t="shared" si="217"/>
        <v>2.0000000000000018E-2</v>
      </c>
      <c r="AY31" s="9">
        <f t="shared" si="217"/>
        <v>2.0000000000000018E-2</v>
      </c>
      <c r="AZ31" s="9">
        <f t="shared" si="217"/>
        <v>2.0000000000000018E-2</v>
      </c>
      <c r="BA31" s="9">
        <f t="shared" si="217"/>
        <v>2.0000000000000018E-2</v>
      </c>
      <c r="BB31" s="9">
        <f t="shared" si="217"/>
        <v>1.0000000000000009E-2</v>
      </c>
      <c r="BC31" s="9">
        <f t="shared" si="217"/>
        <v>1.0000000000000009E-2</v>
      </c>
      <c r="BD31" s="9">
        <f t="shared" si="217"/>
        <v>1.0000000000000009E-2</v>
      </c>
      <c r="BE31" s="9">
        <f t="shared" si="217"/>
        <v>1.0000000000000009E-2</v>
      </c>
      <c r="BF31" s="9">
        <f t="shared" si="217"/>
        <v>1.0000000000000009E-2</v>
      </c>
      <c r="BG31" s="9">
        <f t="shared" si="217"/>
        <v>1.0000000000000009E-2</v>
      </c>
      <c r="BI31" t="s">
        <v>48</v>
      </c>
      <c r="BJ31" s="9">
        <v>0.05</v>
      </c>
    </row>
    <row r="32" spans="1:180" x14ac:dyDescent="0.3">
      <c r="A32" s="8"/>
      <c r="B32" s="8" t="s">
        <v>96</v>
      </c>
      <c r="C32" s="7"/>
      <c r="D32" s="8"/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>
        <f t="shared" ref="X32:AH32" si="218">X4/T4-1</f>
        <v>-2.8248587570621431E-2</v>
      </c>
      <c r="Y32" s="9">
        <f t="shared" si="218"/>
        <v>2.5089605734766929E-2</v>
      </c>
      <c r="Z32" s="9">
        <f t="shared" si="218"/>
        <v>0.48726114649681529</v>
      </c>
      <c r="AA32" s="9">
        <f t="shared" si="218"/>
        <v>-0.23269513991163471</v>
      </c>
      <c r="AB32" s="9">
        <f t="shared" si="218"/>
        <v>-0.18023255813953487</v>
      </c>
      <c r="AC32" s="9">
        <f t="shared" si="218"/>
        <v>0.93706293706293708</v>
      </c>
      <c r="AD32" s="9">
        <f t="shared" si="218"/>
        <v>-7.2805139186295498E-2</v>
      </c>
      <c r="AE32" s="9">
        <f t="shared" si="218"/>
        <v>-0.15163147792706333</v>
      </c>
      <c r="AF32" s="9">
        <f t="shared" si="218"/>
        <v>2.1560283687943262</v>
      </c>
      <c r="AG32" s="9">
        <f t="shared" si="218"/>
        <v>0.3339350180505416</v>
      </c>
      <c r="AH32" s="9">
        <f t="shared" si="218"/>
        <v>0.59815242494226317</v>
      </c>
      <c r="AI32" s="9">
        <f t="shared" si="213"/>
        <v>0.34615384615384626</v>
      </c>
      <c r="AJ32" s="9">
        <f t="shared" si="214"/>
        <v>-0.25</v>
      </c>
      <c r="AK32" s="9">
        <f t="shared" si="215"/>
        <v>-0.19999999999999996</v>
      </c>
      <c r="AL32" s="9">
        <f t="shared" si="216"/>
        <v>-0.15000000000000013</v>
      </c>
      <c r="AM32" s="7"/>
      <c r="AN32" s="8"/>
      <c r="AO32" s="8"/>
      <c r="AP32" s="9"/>
      <c r="AQ32" s="9"/>
      <c r="AR32" s="9"/>
      <c r="AS32" s="9"/>
      <c r="AT32" s="9"/>
      <c r="AU32" s="9">
        <f t="shared" ref="AU32:BG32" si="219">AU4/AT4-1</f>
        <v>7.8828828828829689E-3</v>
      </c>
      <c r="AV32" s="9">
        <f t="shared" si="219"/>
        <v>0.54357541899441331</v>
      </c>
      <c r="AW32" s="9">
        <f t="shared" si="219"/>
        <v>-0.11621425986246825</v>
      </c>
      <c r="AX32" s="9">
        <f t="shared" si="219"/>
        <v>5.0000000000000044E-2</v>
      </c>
      <c r="AY32" s="9">
        <f t="shared" si="219"/>
        <v>3.0000000000000027E-2</v>
      </c>
      <c r="AZ32" s="9">
        <f t="shared" si="219"/>
        <v>2.0000000000000018E-2</v>
      </c>
      <c r="BA32" s="9">
        <f t="shared" si="219"/>
        <v>2.0000000000000018E-2</v>
      </c>
      <c r="BB32" s="9">
        <f t="shared" si="219"/>
        <v>2.0000000000000018E-2</v>
      </c>
      <c r="BC32" s="9">
        <f t="shared" si="219"/>
        <v>2.0000000000000018E-2</v>
      </c>
      <c r="BD32" s="9">
        <f t="shared" si="219"/>
        <v>2.0000000000000018E-2</v>
      </c>
      <c r="BE32" s="9">
        <f t="shared" si="219"/>
        <v>2.0000000000000018E-2</v>
      </c>
      <c r="BF32" s="9">
        <f t="shared" si="219"/>
        <v>2.0000000000000018E-2</v>
      </c>
      <c r="BG32" s="9">
        <f t="shared" si="219"/>
        <v>2.0000000000000018E-2</v>
      </c>
      <c r="BI32" s="8" t="s">
        <v>49</v>
      </c>
      <c r="BJ32" s="15">
        <f>NPV(BJ31,AW27:FX27)</f>
        <v>279834.91867094114</v>
      </c>
    </row>
    <row r="33" spans="1:62" s="8" customFormat="1" x14ac:dyDescent="0.3">
      <c r="B33" s="8" t="s">
        <v>86</v>
      </c>
      <c r="C33" s="7"/>
      <c r="D33" s="7"/>
      <c r="E33" s="7"/>
      <c r="F33" s="7"/>
      <c r="G33" s="9">
        <f t="shared" ref="G33:AH33" si="220">G5/C5-1</f>
        <v>-0.31866404715127694</v>
      </c>
      <c r="H33" s="9">
        <f t="shared" si="220"/>
        <v>-0.12064539787312056</v>
      </c>
      <c r="I33" s="9">
        <f t="shared" si="220"/>
        <v>-0.22963998601887459</v>
      </c>
      <c r="J33" s="9">
        <f t="shared" si="220"/>
        <v>-0.14778156996587033</v>
      </c>
      <c r="K33" s="9">
        <f t="shared" si="220"/>
        <v>0.2399077277970012</v>
      </c>
      <c r="L33" s="9">
        <f t="shared" si="220"/>
        <v>-0.13261050875729774</v>
      </c>
      <c r="M33" s="9">
        <f t="shared" si="220"/>
        <v>2.7223230490018846E-3</v>
      </c>
      <c r="N33" s="9">
        <f t="shared" si="220"/>
        <v>-9.8918702442931439E-2</v>
      </c>
      <c r="O33" s="9">
        <f t="shared" si="220"/>
        <v>0.1116279069767443</v>
      </c>
      <c r="P33" s="9">
        <f t="shared" si="220"/>
        <v>0.28846153846153855</v>
      </c>
      <c r="Q33" s="9">
        <f t="shared" si="220"/>
        <v>0.19909502262443435</v>
      </c>
      <c r="R33" s="9">
        <f t="shared" si="220"/>
        <v>0.24444444444444446</v>
      </c>
      <c r="S33" s="9">
        <f t="shared" si="220"/>
        <v>0.2426778242677825</v>
      </c>
      <c r="T33" s="9">
        <f t="shared" si="220"/>
        <v>0.23880597014925375</v>
      </c>
      <c r="U33" s="9">
        <f t="shared" si="220"/>
        <v>0.45283018867924518</v>
      </c>
      <c r="V33" s="9">
        <f t="shared" si="220"/>
        <v>1.2428571428571429</v>
      </c>
      <c r="W33" s="9">
        <f t="shared" si="220"/>
        <v>1.2491582491582491</v>
      </c>
      <c r="X33" s="9">
        <f t="shared" si="220"/>
        <v>0.77108433734939763</v>
      </c>
      <c r="Y33" s="9">
        <f t="shared" si="220"/>
        <v>0.61298701298701297</v>
      </c>
      <c r="Z33" s="9">
        <f t="shared" si="220"/>
        <v>-4.6178343949044631E-2</v>
      </c>
      <c r="AA33" s="9">
        <f t="shared" si="220"/>
        <v>-0.15568862275449102</v>
      </c>
      <c r="AB33" s="9">
        <f t="shared" si="220"/>
        <v>-3.5714285714285698E-2</v>
      </c>
      <c r="AC33" s="9">
        <f t="shared" si="220"/>
        <v>-0.2125603864734299</v>
      </c>
      <c r="AD33" s="9">
        <f t="shared" si="220"/>
        <v>-0.1652754590984975</v>
      </c>
      <c r="AE33" s="9">
        <f t="shared" si="220"/>
        <v>-0.15602836879432624</v>
      </c>
      <c r="AF33" s="9">
        <f t="shared" si="220"/>
        <v>-0.19223985890652562</v>
      </c>
      <c r="AG33" s="9">
        <f t="shared" si="220"/>
        <v>-8.7934560327198374E-2</v>
      </c>
      <c r="AH33" s="9">
        <f t="shared" si="220"/>
        <v>-0.10599999999999998</v>
      </c>
      <c r="AI33" s="9">
        <f t="shared" si="213"/>
        <v>-6.0924369747899165E-2</v>
      </c>
      <c r="AJ33" s="9">
        <f t="shared" si="214"/>
        <v>-5.0000000000000044E-2</v>
      </c>
      <c r="AK33" s="9">
        <f t="shared" si="215"/>
        <v>-5.0000000000000044E-2</v>
      </c>
      <c r="AL33" s="9">
        <f t="shared" si="216"/>
        <v>-5.0000000000000044E-2</v>
      </c>
      <c r="AP33" s="9">
        <f t="shared" ref="AP33:BG33" si="221">AP5/AO5-1</f>
        <v>-0.20157281026846263</v>
      </c>
      <c r="AQ33" s="9">
        <f t="shared" si="221"/>
        <v>-1.6189290161892855E-2</v>
      </c>
      <c r="AR33" s="9">
        <f t="shared" si="221"/>
        <v>0.21058688147295745</v>
      </c>
      <c r="AS33" s="9">
        <f t="shared" si="221"/>
        <v>0.56083650190114076</v>
      </c>
      <c r="AT33" s="9">
        <f t="shared" si="221"/>
        <v>0.50791717417783189</v>
      </c>
      <c r="AU33" s="9">
        <f t="shared" si="221"/>
        <v>-0.14378029079159937</v>
      </c>
      <c r="AV33" s="9">
        <f t="shared" si="221"/>
        <v>-0.13820754716981132</v>
      </c>
      <c r="AW33" s="9">
        <f t="shared" si="221"/>
        <v>-5.2846195949644348E-2</v>
      </c>
      <c r="AX33" s="9">
        <f t="shared" si="221"/>
        <v>-5.0000000000000044E-2</v>
      </c>
      <c r="AY33" s="9">
        <f t="shared" si="221"/>
        <v>-5.0000000000000044E-2</v>
      </c>
      <c r="AZ33" s="9">
        <f t="shared" si="221"/>
        <v>-5.0000000000000044E-2</v>
      </c>
      <c r="BA33" s="9">
        <f t="shared" si="221"/>
        <v>-5.0000000000000044E-2</v>
      </c>
      <c r="BB33" s="9">
        <f t="shared" si="221"/>
        <v>-5.0000000000000044E-2</v>
      </c>
      <c r="BC33" s="9">
        <f t="shared" si="221"/>
        <v>-5.0000000000000044E-2</v>
      </c>
      <c r="BD33" s="9">
        <f t="shared" si="221"/>
        <v>-5.0000000000000044E-2</v>
      </c>
      <c r="BE33" s="9">
        <f t="shared" si="221"/>
        <v>-4.9999999999999933E-2</v>
      </c>
      <c r="BF33" s="9">
        <f t="shared" si="221"/>
        <v>-4.9999999999999933E-2</v>
      </c>
      <c r="BG33" s="9">
        <f t="shared" si="221"/>
        <v>-5.0000000000000155E-2</v>
      </c>
      <c r="BI33" s="8" t="s">
        <v>51</v>
      </c>
      <c r="BJ33" s="15">
        <f>Main!D8</f>
        <v>29467</v>
      </c>
    </row>
    <row r="34" spans="1:62" s="8" customFormat="1" x14ac:dyDescent="0.3">
      <c r="B34" s="8" t="s">
        <v>87</v>
      </c>
      <c r="C34" s="7"/>
      <c r="D34" s="7"/>
      <c r="E34" s="7"/>
      <c r="F34" s="7"/>
      <c r="G34" s="9">
        <f t="shared" ref="G34" si="222">G7/C7-1</f>
        <v>0.91678354371201487</v>
      </c>
      <c r="H34" s="9">
        <f t="shared" ref="H34" si="223">H7/D7-1</f>
        <v>0.30449947680502265</v>
      </c>
      <c r="I34" s="9">
        <f t="shared" ref="I34" si="224">I7/E7-1</f>
        <v>0.25763779527559061</v>
      </c>
      <c r="J34" s="9">
        <f t="shared" ref="J34" si="225">J7/F7-1</f>
        <v>0.24630872483221466</v>
      </c>
      <c r="K34" s="9">
        <f t="shared" ref="K34" si="226">K7/G7-1</f>
        <v>-0.20975609756097557</v>
      </c>
      <c r="L34" s="9">
        <f t="shared" ref="L34" si="227">L7/H7-1</f>
        <v>-1.3368983957219305E-2</v>
      </c>
      <c r="M34" s="9">
        <f t="shared" ref="M34" si="228">M7/I7-1</f>
        <v>6.7618332081140764E-3</v>
      </c>
      <c r="N34" s="9">
        <f t="shared" ref="N34" si="229">N7/J7-1</f>
        <v>0.17393645665051172</v>
      </c>
      <c r="O34" s="9">
        <f t="shared" ref="O34" si="230">O7/K7-1</f>
        <v>-9.5679012345678993E-2</v>
      </c>
      <c r="P34" s="9">
        <f t="shared" ref="P34" si="231">P7/L7-1</f>
        <v>2.7100271002709064E-3</v>
      </c>
      <c r="Q34" s="9">
        <f t="shared" ref="Q34" si="232">Q7/M7-1</f>
        <v>0.44029850746268662</v>
      </c>
      <c r="R34" s="9">
        <f t="shared" ref="R34" si="233">R7/N7-1</f>
        <v>0.72477064220183496</v>
      </c>
      <c r="S34" s="9">
        <f t="shared" ref="S34" si="234">S7/O7-1</f>
        <v>0.68600682593856654</v>
      </c>
      <c r="T34" s="9">
        <f t="shared" ref="T34" si="235">T7/P7-1</f>
        <v>1.1648648648648647</v>
      </c>
      <c r="U34" s="9">
        <f t="shared" ref="U34" si="236">U7/Q7-1</f>
        <v>0.39205526770293608</v>
      </c>
      <c r="V34" s="9">
        <f t="shared" ref="V34" si="237">V7/R7-1</f>
        <v>-8.5106382978723416E-2</v>
      </c>
      <c r="W34" s="9">
        <f t="shared" ref="W34" si="238">W7/S7-1</f>
        <v>0.24696356275303644</v>
      </c>
      <c r="X34" s="9">
        <f t="shared" ref="X34" si="239">X7/T7-1</f>
        <v>8.1148564294631687E-2</v>
      </c>
      <c r="Y34" s="9">
        <f t="shared" ref="Y34" si="240">Y7/U7-1</f>
        <v>0.38585607940446653</v>
      </c>
      <c r="Z34" s="9">
        <f t="shared" ref="Z34" si="241">Z7/V7-1</f>
        <v>0.90406976744186052</v>
      </c>
      <c r="AA34" s="9">
        <f t="shared" ref="AA34" si="242">AA7/W7-1</f>
        <v>1.4821428571428572</v>
      </c>
      <c r="AB34" s="9">
        <f t="shared" ref="AB34" si="243">AB7/X7-1</f>
        <v>0.7424942263279446</v>
      </c>
      <c r="AC34" s="9">
        <f t="shared" ref="AC34" si="244">AC7/Y7-1</f>
        <v>0.39570277529095788</v>
      </c>
      <c r="AD34" s="9">
        <f t="shared" ref="AD34" si="245">AD7/Z7-1</f>
        <v>9.7709923664122122E-2</v>
      </c>
      <c r="AE34" s="9">
        <f t="shared" ref="AE34" si="246">AE7/AA7-1</f>
        <v>6.9326357096141322E-2</v>
      </c>
      <c r="AF34" s="9">
        <f t="shared" ref="AF34" si="247">AF7/AB7-1</f>
        <v>0.99734923790589791</v>
      </c>
      <c r="AG34" s="9">
        <f t="shared" ref="AG34" si="248">AG7/AC7-1</f>
        <v>0.52405388069275172</v>
      </c>
      <c r="AH34" s="9">
        <f t="shared" ref="AH34" si="249">AH7/AD7-1</f>
        <v>1.1286509040333796</v>
      </c>
      <c r="AI34" s="9">
        <f t="shared" ref="AI34:AI36" si="250">AI7/AE7-1</f>
        <v>0.66972477064220182</v>
      </c>
      <c r="AJ34" s="9">
        <f t="shared" ref="AJ34:AJ36" si="251">AJ7/AF7-1</f>
        <v>-2.0000000000000018E-2</v>
      </c>
      <c r="AK34" s="9">
        <f t="shared" ref="AK34:AK36" si="252">AK7/AG7-1</f>
        <v>0.30000000000000004</v>
      </c>
      <c r="AL34" s="9">
        <f t="shared" ref="AL34:AL36" si="253">AL7/AH7-1</f>
        <v>3.0000000000000027E-2</v>
      </c>
      <c r="AP34" s="9">
        <f t="shared" ref="AP34:BG34" si="254">AP7/AO7-1</f>
        <v>0.3929755398261805</v>
      </c>
      <c r="AQ34" s="9">
        <f t="shared" si="254"/>
        <v>-1.5244098539911155E-2</v>
      </c>
      <c r="AR34" s="9">
        <f t="shared" si="254"/>
        <v>0.30241672109732209</v>
      </c>
      <c r="AS34" s="9">
        <f t="shared" si="254"/>
        <v>0.3986960882647943</v>
      </c>
      <c r="AT34" s="9">
        <f t="shared" si="254"/>
        <v>0.40157762638938688</v>
      </c>
      <c r="AU34" s="9">
        <f t="shared" si="254"/>
        <v>0.54387311332821686</v>
      </c>
      <c r="AV34" s="9">
        <f t="shared" si="254"/>
        <v>0.67125103562551791</v>
      </c>
      <c r="AW34" s="9">
        <f t="shared" si="254"/>
        <v>0.18236664683720005</v>
      </c>
      <c r="AX34" s="9">
        <f t="shared" si="254"/>
        <v>0.30000000000000004</v>
      </c>
      <c r="AY34" s="9">
        <f t="shared" si="254"/>
        <v>0.25</v>
      </c>
      <c r="AZ34" s="9">
        <f t="shared" si="254"/>
        <v>0.19999999999999996</v>
      </c>
      <c r="BA34" s="9">
        <f t="shared" si="254"/>
        <v>0.14999999999999991</v>
      </c>
      <c r="BB34" s="9">
        <f t="shared" si="254"/>
        <v>0.10000000000000009</v>
      </c>
      <c r="BC34" s="9">
        <f t="shared" si="254"/>
        <v>5.0000000000000044E-2</v>
      </c>
      <c r="BD34" s="9">
        <f t="shared" si="254"/>
        <v>5.0000000000000044E-2</v>
      </c>
      <c r="BE34" s="9">
        <f t="shared" si="254"/>
        <v>5.0000000000000044E-2</v>
      </c>
      <c r="BF34" s="9">
        <f t="shared" si="254"/>
        <v>5.0000000000000044E-2</v>
      </c>
      <c r="BG34" s="9">
        <f t="shared" si="254"/>
        <v>5.0000000000000044E-2</v>
      </c>
      <c r="BI34" s="8" t="s">
        <v>52</v>
      </c>
      <c r="BJ34" s="15">
        <f>BJ32+BJ33</f>
        <v>309301.91867094114</v>
      </c>
    </row>
    <row r="35" spans="1:62" s="8" customFormat="1" x14ac:dyDescent="0.3">
      <c r="B35" s="8" t="s">
        <v>85</v>
      </c>
      <c r="C35" s="7"/>
      <c r="D35" s="7"/>
      <c r="E35" s="7"/>
      <c r="F35" s="7"/>
      <c r="G35" s="9">
        <f>G8/C8-1</f>
        <v>0.36689154125583801</v>
      </c>
      <c r="H35" s="9">
        <f t="shared" ref="H35:AH35" si="255">H8/D8-1</f>
        <v>0.24942156409069871</v>
      </c>
      <c r="I35" s="9">
        <f t="shared" si="255"/>
        <v>7.2649572649572836E-2</v>
      </c>
      <c r="J35" s="9">
        <f t="shared" si="255"/>
        <v>0.84409722222222228</v>
      </c>
      <c r="K35" s="9">
        <f t="shared" si="255"/>
        <v>0.87167805618830685</v>
      </c>
      <c r="L35" s="9">
        <f t="shared" si="255"/>
        <v>1.2407407407407409</v>
      </c>
      <c r="M35" s="9">
        <f t="shared" si="255"/>
        <v>0.67943610174685865</v>
      </c>
      <c r="N35" s="9">
        <f t="shared" si="255"/>
        <v>9.2073055921672031E-2</v>
      </c>
      <c r="O35" s="9">
        <f t="shared" si="255"/>
        <v>0.13590263691683568</v>
      </c>
      <c r="P35" s="9">
        <f t="shared" si="255"/>
        <v>-0.19504132231404958</v>
      </c>
      <c r="Q35" s="9">
        <f t="shared" si="255"/>
        <v>6.0218978102189791E-2</v>
      </c>
      <c r="R35" s="9">
        <f t="shared" si="255"/>
        <v>0.16896551724137931</v>
      </c>
      <c r="S35" s="9">
        <f t="shared" si="255"/>
        <v>0.59464285714285725</v>
      </c>
      <c r="T35" s="9">
        <f t="shared" si="255"/>
        <v>0.95277207392197116</v>
      </c>
      <c r="U35" s="9">
        <f t="shared" si="255"/>
        <v>0.53872633390705671</v>
      </c>
      <c r="V35" s="9">
        <f t="shared" si="255"/>
        <v>0.56932153392330376</v>
      </c>
      <c r="W35" s="9">
        <f t="shared" si="255"/>
        <v>0.43225083986562152</v>
      </c>
      <c r="X35" s="9">
        <f t="shared" si="255"/>
        <v>0.54153522607781279</v>
      </c>
      <c r="Y35" s="9">
        <f t="shared" si="255"/>
        <v>0.84004474272930652</v>
      </c>
      <c r="Z35" s="9">
        <f t="shared" si="255"/>
        <v>0.59868421052631571</v>
      </c>
      <c r="AA35" s="9">
        <f t="shared" si="255"/>
        <v>0.43627834245504293</v>
      </c>
      <c r="AB35" s="9">
        <f t="shared" si="255"/>
        <v>0.46657571623465222</v>
      </c>
      <c r="AC35" s="9">
        <f t="shared" si="255"/>
        <v>0.31671732522796359</v>
      </c>
      <c r="AD35" s="9">
        <f t="shared" si="255"/>
        <v>0.27336860670194008</v>
      </c>
      <c r="AE35" s="9">
        <f t="shared" si="255"/>
        <v>0.24550898203592819</v>
      </c>
      <c r="AF35" s="9">
        <f t="shared" si="255"/>
        <v>0.21302325581395354</v>
      </c>
      <c r="AG35" s="9">
        <f t="shared" si="255"/>
        <v>0.28808864265927969</v>
      </c>
      <c r="AH35" s="9">
        <f t="shared" si="255"/>
        <v>0.31486611265004627</v>
      </c>
      <c r="AI35" s="9">
        <f t="shared" si="250"/>
        <v>0.15297202797202791</v>
      </c>
      <c r="AJ35" s="9">
        <f t="shared" si="251"/>
        <v>0.10000000000000009</v>
      </c>
      <c r="AK35" s="9">
        <f t="shared" si="252"/>
        <v>0.10000000000000009</v>
      </c>
      <c r="AL35" s="9">
        <f t="shared" si="253"/>
        <v>0.10000000000000009</v>
      </c>
      <c r="AM35"/>
      <c r="AN35"/>
      <c r="AP35" s="9">
        <f>AP8/AO8-1</f>
        <v>0.3894105894105897</v>
      </c>
      <c r="AQ35" s="9">
        <f t="shared" ref="AQ35:BG35" si="256">AQ8/AP8-1</f>
        <v>0.60051768766177727</v>
      </c>
      <c r="AR35" s="9">
        <f t="shared" si="256"/>
        <v>3.5938903863432126E-2</v>
      </c>
      <c r="AS35" s="9">
        <f t="shared" si="256"/>
        <v>0.64874241110147435</v>
      </c>
      <c r="AT35" s="9">
        <f t="shared" si="256"/>
        <v>0.60205155181483438</v>
      </c>
      <c r="AU35" s="9">
        <f t="shared" si="256"/>
        <v>0.36578558528977179</v>
      </c>
      <c r="AV35" s="9">
        <f t="shared" si="256"/>
        <v>0.26625796369755972</v>
      </c>
      <c r="AW35" s="9">
        <f t="shared" si="256"/>
        <v>0.11150560091133488</v>
      </c>
      <c r="AX35" s="9">
        <f t="shared" si="256"/>
        <v>0.14999999999999991</v>
      </c>
      <c r="AY35" s="9">
        <f t="shared" si="256"/>
        <v>0.14999999999999991</v>
      </c>
      <c r="AZ35" s="9">
        <f t="shared" si="256"/>
        <v>0.14999999999999991</v>
      </c>
      <c r="BA35" s="9">
        <f t="shared" si="256"/>
        <v>0.19999999999999996</v>
      </c>
      <c r="BB35" s="9">
        <f t="shared" si="256"/>
        <v>0.19999999999999996</v>
      </c>
      <c r="BC35" s="9">
        <f t="shared" si="256"/>
        <v>0.19999999999999996</v>
      </c>
      <c r="BD35" s="9">
        <f t="shared" si="256"/>
        <v>0.19999999999999996</v>
      </c>
      <c r="BE35" s="9">
        <f t="shared" si="256"/>
        <v>0.19999999999999996</v>
      </c>
      <c r="BF35" s="9">
        <f t="shared" si="256"/>
        <v>0.19999999999999996</v>
      </c>
      <c r="BG35" s="9">
        <f t="shared" si="256"/>
        <v>0.19999999999999996</v>
      </c>
      <c r="BI35" s="8" t="s">
        <v>53</v>
      </c>
      <c r="BJ35" s="10">
        <f>BJ34/BB28</f>
        <v>96.026674533045991</v>
      </c>
    </row>
    <row r="36" spans="1:62" x14ac:dyDescent="0.3">
      <c r="A36" s="8"/>
      <c r="B36" s="7" t="s">
        <v>23</v>
      </c>
      <c r="C36" s="7"/>
      <c r="D36" s="7"/>
      <c r="E36" s="7"/>
      <c r="F36" s="7"/>
      <c r="G36" s="7">
        <f>G9/C9-1</f>
        <v>0.26427061310782252</v>
      </c>
      <c r="H36" s="7">
        <f t="shared" ref="H36:AH36" si="257">H9/D9-1</f>
        <v>0.43462517477503337</v>
      </c>
      <c r="I36" s="7">
        <f t="shared" si="257"/>
        <v>1.2866572845463078</v>
      </c>
      <c r="J36" s="7">
        <f t="shared" si="257"/>
        <v>1.1975000760317509</v>
      </c>
      <c r="K36" s="7">
        <f t="shared" si="257"/>
        <v>0.33221850613154946</v>
      </c>
      <c r="L36" s="7">
        <f t="shared" si="257"/>
        <v>0.58686525389844046</v>
      </c>
      <c r="M36" s="7">
        <f t="shared" si="257"/>
        <v>-7.6388787128350177E-2</v>
      </c>
      <c r="N36" s="7">
        <f t="shared" si="257"/>
        <v>2.192205491585475E-2</v>
      </c>
      <c r="O36" s="7">
        <f t="shared" si="257"/>
        <v>0.31799163179916312</v>
      </c>
      <c r="P36" s="7">
        <f t="shared" si="257"/>
        <v>-4.9448818897637747E-2</v>
      </c>
      <c r="Q36" s="7">
        <f t="shared" si="257"/>
        <v>0.39155957480564818</v>
      </c>
      <c r="R36" s="7">
        <f t="shared" si="257"/>
        <v>0.45503791982665232</v>
      </c>
      <c r="S36" s="7">
        <f t="shared" si="257"/>
        <v>0.73583959899749374</v>
      </c>
      <c r="T36" s="7">
        <f t="shared" si="257"/>
        <v>0.98111332007952279</v>
      </c>
      <c r="U36" s="7">
        <f t="shared" si="257"/>
        <v>0.56846425721126437</v>
      </c>
      <c r="V36" s="7">
        <f t="shared" si="257"/>
        <v>0.64919955323901712</v>
      </c>
      <c r="W36" s="7">
        <f t="shared" si="257"/>
        <v>0.80537106555010096</v>
      </c>
      <c r="X36" s="7">
        <f t="shared" si="257"/>
        <v>0.41612309750794441</v>
      </c>
      <c r="Y36" s="7">
        <f t="shared" si="257"/>
        <v>0.55949698335392894</v>
      </c>
      <c r="Z36" s="7">
        <f t="shared" si="257"/>
        <v>0.37242508042214562</v>
      </c>
      <c r="AA36" s="7">
        <f t="shared" si="257"/>
        <v>0.24381531243335464</v>
      </c>
      <c r="AB36" s="7">
        <f t="shared" si="257"/>
        <v>0.47200897602456604</v>
      </c>
      <c r="AC36" s="7">
        <f t="shared" si="257"/>
        <v>8.8375128181224838E-2</v>
      </c>
      <c r="AD36" s="7">
        <f t="shared" si="257"/>
        <v>3.4912410560078877E-2</v>
      </c>
      <c r="AE36" s="7">
        <f t="shared" si="257"/>
        <v>-8.6930429936988296E-2</v>
      </c>
      <c r="AF36" s="7">
        <f t="shared" si="257"/>
        <v>2.2987122397400306E-2</v>
      </c>
      <c r="AG36" s="7">
        <f t="shared" si="257"/>
        <v>7.8458244111349051E-2</v>
      </c>
      <c r="AH36" s="7">
        <f t="shared" si="257"/>
        <v>2.1456669448086885E-2</v>
      </c>
      <c r="AI36" s="7">
        <f t="shared" si="250"/>
        <v>-9.2296136331627587E-2</v>
      </c>
      <c r="AJ36" s="7">
        <f t="shared" si="251"/>
        <v>-0.18342666666666674</v>
      </c>
      <c r="AK36" s="7">
        <f t="shared" si="252"/>
        <v>-0.1169287586371216</v>
      </c>
      <c r="AL36" s="7">
        <f t="shared" si="253"/>
        <v>-9.9131364997860461E-2</v>
      </c>
      <c r="AM36" s="8"/>
      <c r="AO36" s="8"/>
      <c r="AP36" s="7">
        <f>AP9/AO9-1</f>
        <v>0.82516435758086049</v>
      </c>
      <c r="AQ36" s="7">
        <f t="shared" ref="AQ36:BG36" si="258">AQ9/AP9-1</f>
        <v>0.14528823258046342</v>
      </c>
      <c r="AR36" s="7">
        <f t="shared" si="258"/>
        <v>0.28309870615998056</v>
      </c>
      <c r="AS36" s="7">
        <f t="shared" si="258"/>
        <v>0.70671613394216126</v>
      </c>
      <c r="AT36" s="7">
        <f t="shared" si="258"/>
        <v>0.51351652639206291</v>
      </c>
      <c r="AU36" s="7">
        <f t="shared" si="258"/>
        <v>0.18795266504627928</v>
      </c>
      <c r="AV36" s="7">
        <f t="shared" si="258"/>
        <v>9.4757835346634955E-3</v>
      </c>
      <c r="AW36" s="7">
        <f t="shared" si="258"/>
        <v>-0.12423226532910214</v>
      </c>
      <c r="AX36" s="7">
        <f t="shared" si="258"/>
        <v>7.6261023041070519E-2</v>
      </c>
      <c r="AY36" s="7">
        <f t="shared" si="258"/>
        <v>7.6763514888190221E-2</v>
      </c>
      <c r="AZ36" s="7">
        <f t="shared" si="258"/>
        <v>7.4382652282634965E-2</v>
      </c>
      <c r="BA36" s="7">
        <f t="shared" si="258"/>
        <v>7.7495964539447737E-2</v>
      </c>
      <c r="BB36" s="7">
        <f t="shared" si="258"/>
        <v>6.5846189846399783E-2</v>
      </c>
      <c r="BC36" s="7">
        <f t="shared" si="258"/>
        <v>5.9017087229659371E-2</v>
      </c>
      <c r="BD36" s="7">
        <f t="shared" si="258"/>
        <v>6.4296257857373584E-2</v>
      </c>
      <c r="BE36" s="7">
        <f t="shared" si="258"/>
        <v>6.9976319599411863E-2</v>
      </c>
      <c r="BF36" s="7">
        <f t="shared" si="258"/>
        <v>7.6032955207299135E-2</v>
      </c>
      <c r="BG36" s="7">
        <f t="shared" si="258"/>
        <v>8.2428122374777146E-2</v>
      </c>
      <c r="BI36" s="8" t="s">
        <v>54</v>
      </c>
      <c r="BJ36" s="10">
        <f>Main!D3</f>
        <v>256.58999999999997</v>
      </c>
    </row>
    <row r="37" spans="1:62" s="3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 s="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I37" s="3" t="s">
        <v>58</v>
      </c>
      <c r="BJ37" s="16">
        <f>BJ35/BJ36-1</f>
        <v>-0.62575831274388716</v>
      </c>
    </row>
    <row r="38" spans="1:62" s="3" customFormat="1" x14ac:dyDescent="0.3">
      <c r="B38" s="8" t="s">
        <v>88</v>
      </c>
      <c r="C38" s="9">
        <f>(C3-C10)/C3</f>
        <v>0.2645700245700246</v>
      </c>
      <c r="D38" s="9">
        <f t="shared" ref="D38:AH38" si="259">(D3-D10)/D3</f>
        <v>0.26879531234482074</v>
      </c>
      <c r="E38" s="9">
        <f t="shared" si="259"/>
        <v>0.15457960127130888</v>
      </c>
      <c r="F38" s="9">
        <f t="shared" si="259"/>
        <v>0.16998049063965798</v>
      </c>
      <c r="G38" s="9">
        <f t="shared" si="259"/>
        <v>0.18365992661409944</v>
      </c>
      <c r="H38" s="9">
        <f t="shared" si="259"/>
        <v>0.18862659567643861</v>
      </c>
      <c r="I38" s="9">
        <f t="shared" si="259"/>
        <v>0.25048058112039201</v>
      </c>
      <c r="J38" s="9">
        <f t="shared" si="259"/>
        <v>0.23296670728092991</v>
      </c>
      <c r="K38" s="9">
        <f t="shared" si="259"/>
        <v>0.18609290396124251</v>
      </c>
      <c r="L38" s="9">
        <f t="shared" si="259"/>
        <v>0.17685758513931887</v>
      </c>
      <c r="M38" s="9">
        <f t="shared" si="259"/>
        <v>0.21784879189399844</v>
      </c>
      <c r="N38" s="9">
        <f t="shared" si="259"/>
        <v>0.21618101904606871</v>
      </c>
      <c r="O38" s="9">
        <f t="shared" si="259"/>
        <v>0.2440220723482526</v>
      </c>
      <c r="P38" s="9">
        <f t="shared" si="259"/>
        <v>0.24373854612095297</v>
      </c>
      <c r="Q38" s="9">
        <f t="shared" si="259"/>
        <v>0.27021508303838826</v>
      </c>
      <c r="R38" s="9">
        <f t="shared" si="259"/>
        <v>0.23378348461368165</v>
      </c>
      <c r="S38" s="9">
        <f t="shared" si="259"/>
        <v>0.2582423894313613</v>
      </c>
      <c r="T38" s="9">
        <f t="shared" si="259"/>
        <v>0.25220588235294117</v>
      </c>
      <c r="U38" s="9">
        <f t="shared" si="259"/>
        <v>0.28464846835776353</v>
      </c>
      <c r="V38" s="9">
        <f t="shared" si="259"/>
        <v>0.28858569051580701</v>
      </c>
      <c r="W38" s="9">
        <f t="shared" si="259"/>
        <v>0.29650638133298957</v>
      </c>
      <c r="X38" s="9">
        <f t="shared" si="259"/>
        <v>0.25727871250914414</v>
      </c>
      <c r="Y38" s="9">
        <f t="shared" si="259"/>
        <v>0.26348046106269329</v>
      </c>
      <c r="Z38" s="9">
        <f t="shared" si="259"/>
        <v>0.23753767106368262</v>
      </c>
      <c r="AA38" s="9">
        <f t="shared" si="259"/>
        <v>0.1830702404915775</v>
      </c>
      <c r="AB38" s="9">
        <f t="shared" si="259"/>
        <v>0.17522895342573094</v>
      </c>
      <c r="AC38" s="9">
        <f t="shared" si="259"/>
        <v>0.15746421267893659</v>
      </c>
      <c r="AD38" s="9">
        <f t="shared" si="259"/>
        <v>0.16616577799321378</v>
      </c>
      <c r="AE38" s="9">
        <f t="shared" si="259"/>
        <v>0.15571081409477522</v>
      </c>
      <c r="AF38" s="9">
        <f t="shared" si="259"/>
        <v>0.13858607663248787</v>
      </c>
      <c r="AG38" s="9">
        <f t="shared" si="259"/>
        <v>0.16398491848547608</v>
      </c>
      <c r="AH38" s="9">
        <f t="shared" si="259"/>
        <v>0.12814191542955142</v>
      </c>
      <c r="AI38" s="9">
        <f t="shared" ref="AI38:AL38" si="260">(AI3-AI10)/AI3</f>
        <v>0.1132688588007737</v>
      </c>
      <c r="AJ38" s="9">
        <f t="shared" si="260"/>
        <v>0.11000000000000003</v>
      </c>
      <c r="AK38" s="9">
        <f t="shared" si="260"/>
        <v>0.11000000000000003</v>
      </c>
      <c r="AL38" s="9">
        <f t="shared" si="260"/>
        <v>0.11000000000000001</v>
      </c>
      <c r="AM38" s="7"/>
      <c r="AO38"/>
      <c r="AP38" s="9">
        <f t="shared" ref="AP38:BG38" si="261">(AP3-AP10)/AP3</f>
        <v>0.22380085416276749</v>
      </c>
      <c r="AQ38" s="9">
        <f t="shared" si="261"/>
        <v>0.20113271852445871</v>
      </c>
      <c r="AR38" s="9">
        <f t="shared" si="261"/>
        <v>0.2477849068133211</v>
      </c>
      <c r="AS38" s="9">
        <f t="shared" si="261"/>
        <v>0.27390632349976479</v>
      </c>
      <c r="AT38" s="9">
        <f t="shared" si="261"/>
        <v>0.26202945990180032</v>
      </c>
      <c r="AU38" s="9">
        <f t="shared" si="261"/>
        <v>0.17052821969455731</v>
      </c>
      <c r="AV38" s="9">
        <f t="shared" si="261"/>
        <v>0.14638520971302429</v>
      </c>
      <c r="AW38" s="9">
        <f t="shared" si="261"/>
        <v>0.11073163403752037</v>
      </c>
      <c r="AX38" s="9">
        <f t="shared" si="261"/>
        <v>0.16000000000000003</v>
      </c>
      <c r="AY38" s="9">
        <f t="shared" si="261"/>
        <v>0.16000000000000006</v>
      </c>
      <c r="AZ38" s="9">
        <f t="shared" si="261"/>
        <v>0.17000000000000007</v>
      </c>
      <c r="BA38" s="9">
        <f t="shared" si="261"/>
        <v>0.17000000000000007</v>
      </c>
      <c r="BB38" s="9">
        <f t="shared" si="261"/>
        <v>0.18000000000000002</v>
      </c>
      <c r="BC38" s="9">
        <f t="shared" si="261"/>
        <v>0.18000000000000005</v>
      </c>
      <c r="BD38" s="9">
        <f t="shared" si="261"/>
        <v>0.18999999999999997</v>
      </c>
      <c r="BE38" s="9">
        <f t="shared" si="261"/>
        <v>0.18999999999999997</v>
      </c>
      <c r="BF38" s="9">
        <f t="shared" si="261"/>
        <v>0.19999999999999993</v>
      </c>
      <c r="BG38" s="9">
        <f t="shared" si="261"/>
        <v>0.19999999999999993</v>
      </c>
      <c r="BI38" t="s">
        <v>64</v>
      </c>
      <c r="BJ38" s="13" t="s">
        <v>93</v>
      </c>
    </row>
    <row r="39" spans="1:62" s="3" customFormat="1" x14ac:dyDescent="0.3">
      <c r="B39" s="8" t="s">
        <v>89</v>
      </c>
      <c r="C39" s="9">
        <f>(C5-C11)/C5</f>
        <v>0.34774066797642439</v>
      </c>
      <c r="D39" s="9">
        <f t="shared" ref="D39:AH39" si="262">(D5-D11)/D5</f>
        <v>0.35680234690135676</v>
      </c>
      <c r="E39" s="9">
        <f t="shared" si="262"/>
        <v>0.38762670394966803</v>
      </c>
      <c r="F39" s="9">
        <f t="shared" si="262"/>
        <v>0.34641638225255972</v>
      </c>
      <c r="G39" s="9">
        <f t="shared" si="262"/>
        <v>0.39792387543252594</v>
      </c>
      <c r="H39" s="9">
        <f t="shared" si="262"/>
        <v>0.42910758965804835</v>
      </c>
      <c r="I39" s="9">
        <f t="shared" si="262"/>
        <v>0.45916515426497279</v>
      </c>
      <c r="J39" s="9">
        <f t="shared" si="262"/>
        <v>0.48858630356427712</v>
      </c>
      <c r="K39" s="9">
        <f t="shared" si="262"/>
        <v>0.45581395348837211</v>
      </c>
      <c r="L39" s="9">
        <f t="shared" si="262"/>
        <v>0.49038461538461536</v>
      </c>
      <c r="M39" s="9">
        <f t="shared" si="262"/>
        <v>0.47058823529411764</v>
      </c>
      <c r="N39" s="9">
        <f t="shared" si="262"/>
        <v>0.47111111111111109</v>
      </c>
      <c r="O39" s="9">
        <f t="shared" si="262"/>
        <v>0.4895397489539749</v>
      </c>
      <c r="P39" s="9">
        <f t="shared" si="262"/>
        <v>0.44776119402985076</v>
      </c>
      <c r="Q39" s="9">
        <f t="shared" si="262"/>
        <v>0.45283018867924529</v>
      </c>
      <c r="R39" s="9">
        <f t="shared" si="262"/>
        <v>0.47142857142857142</v>
      </c>
      <c r="S39" s="9">
        <f t="shared" si="262"/>
        <v>0.46127946127946129</v>
      </c>
      <c r="T39" s="9">
        <f t="shared" si="262"/>
        <v>0.43373493975903615</v>
      </c>
      <c r="U39" s="9">
        <f t="shared" si="262"/>
        <v>0.39220779220779223</v>
      </c>
      <c r="V39" s="9">
        <f t="shared" si="262"/>
        <v>0.36942675159235666</v>
      </c>
      <c r="W39" s="9">
        <f t="shared" si="262"/>
        <v>0.38922155688622756</v>
      </c>
      <c r="X39" s="9">
        <f t="shared" si="262"/>
        <v>0.37414965986394561</v>
      </c>
      <c r="Y39" s="9">
        <f t="shared" si="262"/>
        <v>0.38647342995169082</v>
      </c>
      <c r="Z39" s="9">
        <f t="shared" si="262"/>
        <v>0.41235392320534225</v>
      </c>
      <c r="AA39" s="9">
        <f t="shared" si="262"/>
        <v>0.40957446808510639</v>
      </c>
      <c r="AB39" s="9">
        <f t="shared" si="262"/>
        <v>0.40388007054673719</v>
      </c>
      <c r="AC39" s="9">
        <f t="shared" si="262"/>
        <v>0.38445807770961143</v>
      </c>
      <c r="AD39" s="9">
        <f t="shared" si="262"/>
        <v>0.40799999999999997</v>
      </c>
      <c r="AE39" s="9">
        <f t="shared" si="262"/>
        <v>0.43487394957983194</v>
      </c>
      <c r="AF39" s="9">
        <f t="shared" si="262"/>
        <v>0.46506550218340609</v>
      </c>
      <c r="AG39" s="9">
        <f t="shared" si="262"/>
        <v>0.4461883408071749</v>
      </c>
      <c r="AH39" s="9">
        <f t="shared" si="262"/>
        <v>0.45861297539149887</v>
      </c>
      <c r="AI39" s="9">
        <f t="shared" ref="AI39:AL39" si="263">(AI5-AI11)/AI5</f>
        <v>0.46532438478747201</v>
      </c>
      <c r="AJ39" s="9">
        <f t="shared" si="263"/>
        <v>0.47000000000000003</v>
      </c>
      <c r="AK39" s="9">
        <f t="shared" si="263"/>
        <v>0.47</v>
      </c>
      <c r="AL39" s="9">
        <f t="shared" si="263"/>
        <v>0.47</v>
      </c>
      <c r="AM39" s="7"/>
      <c r="AO39"/>
      <c r="AP39" s="9">
        <f t="shared" ref="AP39:BG39" si="264">(AP5-AP11)/AP5</f>
        <v>0.4472998981093626</v>
      </c>
      <c r="AQ39" s="9">
        <f t="shared" si="264"/>
        <v>0.47180667433831991</v>
      </c>
      <c r="AR39" s="9">
        <f t="shared" si="264"/>
        <v>0.46482889733840305</v>
      </c>
      <c r="AS39" s="9">
        <f t="shared" si="264"/>
        <v>0.4043848964677223</v>
      </c>
      <c r="AT39" s="9">
        <f t="shared" si="264"/>
        <v>0.39054927302100162</v>
      </c>
      <c r="AU39" s="9">
        <f t="shared" si="264"/>
        <v>0.40188679245283021</v>
      </c>
      <c r="AV39" s="9">
        <f t="shared" si="264"/>
        <v>0.45101258894362345</v>
      </c>
      <c r="AW39" s="9">
        <f t="shared" si="264"/>
        <v>0.46879222167644252</v>
      </c>
      <c r="AX39" s="9">
        <f t="shared" si="264"/>
        <v>0.45999999999999996</v>
      </c>
      <c r="AY39" s="9">
        <f t="shared" si="264"/>
        <v>0.46</v>
      </c>
      <c r="AZ39" s="9">
        <f t="shared" si="264"/>
        <v>0.45999999999999996</v>
      </c>
      <c r="BA39" s="9">
        <f t="shared" si="264"/>
        <v>0.45999999999999996</v>
      </c>
      <c r="BB39" s="9">
        <f t="shared" si="264"/>
        <v>0.46</v>
      </c>
      <c r="BC39" s="9">
        <f t="shared" si="264"/>
        <v>0.45999999999999991</v>
      </c>
      <c r="BD39" s="9">
        <f t="shared" si="264"/>
        <v>0.45999999999999996</v>
      </c>
      <c r="BE39" s="9">
        <f t="shared" si="264"/>
        <v>0.45999999999999996</v>
      </c>
      <c r="BF39" s="9">
        <f t="shared" si="264"/>
        <v>0.46</v>
      </c>
      <c r="BG39" s="9">
        <f t="shared" si="264"/>
        <v>0.45999999999999996</v>
      </c>
    </row>
    <row r="40" spans="1:62" s="3" customFormat="1" x14ac:dyDescent="0.3">
      <c r="B40" s="8" t="s">
        <v>90</v>
      </c>
      <c r="C40" s="9">
        <f>(C7-C12)/C7</f>
        <v>0.29079008882655455</v>
      </c>
      <c r="D40" s="9">
        <f t="shared" ref="D40:AH40" si="265">(D7-D12)/D7</f>
        <v>0.28950122078828044</v>
      </c>
      <c r="E40" s="9">
        <f t="shared" si="265"/>
        <v>0.2529133858267717</v>
      </c>
      <c r="F40" s="9">
        <f t="shared" si="265"/>
        <v>5.4697986577181244E-2</v>
      </c>
      <c r="G40" s="9">
        <f t="shared" si="265"/>
        <v>8.4634146341463393E-2</v>
      </c>
      <c r="H40" s="9">
        <f t="shared" si="265"/>
        <v>0.11711229946524067</v>
      </c>
      <c r="I40" s="9">
        <f t="shared" si="265"/>
        <v>0.17230152767342852</v>
      </c>
      <c r="J40" s="9">
        <f t="shared" si="265"/>
        <v>0.11497038233710283</v>
      </c>
      <c r="K40" s="9">
        <f t="shared" si="265"/>
        <v>2.4691358024691357E-2</v>
      </c>
      <c r="L40" s="9">
        <f t="shared" si="265"/>
        <v>0.11653116531165311</v>
      </c>
      <c r="M40" s="9">
        <f t="shared" si="265"/>
        <v>0.21890547263681592</v>
      </c>
      <c r="N40" s="9">
        <f t="shared" si="265"/>
        <v>0.11697247706422019</v>
      </c>
      <c r="O40" s="9">
        <f t="shared" si="265"/>
        <v>3.7542662116040959E-2</v>
      </c>
      <c r="P40" s="9">
        <f t="shared" si="265"/>
        <v>5.675675675675676E-2</v>
      </c>
      <c r="Q40" s="9">
        <f t="shared" si="265"/>
        <v>3.6269430051813469E-2</v>
      </c>
      <c r="R40" s="9">
        <f t="shared" si="265"/>
        <v>-4.6542553191489359E-2</v>
      </c>
      <c r="S40" s="9">
        <f t="shared" si="265"/>
        <v>-0.20445344129554655</v>
      </c>
      <c r="T40" s="9">
        <f t="shared" si="265"/>
        <v>2.4968789013732832E-2</v>
      </c>
      <c r="U40" s="9">
        <f t="shared" si="265"/>
        <v>3.7220843672456576E-3</v>
      </c>
      <c r="V40" s="9">
        <f t="shared" si="265"/>
        <v>-7.4127906976744193E-2</v>
      </c>
      <c r="W40" s="9">
        <f t="shared" si="265"/>
        <v>-0.11688311688311688</v>
      </c>
      <c r="X40" s="9">
        <f t="shared" si="265"/>
        <v>0.11200923787528869</v>
      </c>
      <c r="Y40" s="9">
        <f t="shared" si="265"/>
        <v>9.3106535362578333E-2</v>
      </c>
      <c r="Z40" s="9">
        <f t="shared" si="265"/>
        <v>0.12137404580152672</v>
      </c>
      <c r="AA40" s="9">
        <f t="shared" si="265"/>
        <v>0.10987573577501634</v>
      </c>
      <c r="AB40" s="9">
        <f t="shared" si="265"/>
        <v>0.18422796554009277</v>
      </c>
      <c r="AC40" s="9">
        <f t="shared" si="265"/>
        <v>0.24438742783835793</v>
      </c>
      <c r="AD40" s="9">
        <f t="shared" si="265"/>
        <v>0.21835883171070933</v>
      </c>
      <c r="AE40" s="9">
        <f t="shared" si="265"/>
        <v>0.24648318042813455</v>
      </c>
      <c r="AF40" s="9">
        <f t="shared" si="265"/>
        <v>0.24552090245520902</v>
      </c>
      <c r="AG40" s="9">
        <f t="shared" si="265"/>
        <v>0.30513468013468015</v>
      </c>
      <c r="AH40" s="9">
        <f t="shared" si="265"/>
        <v>0.25220516171185886</v>
      </c>
      <c r="AI40" s="9">
        <f t="shared" ref="AI40:AL40" si="266">(AI7-AI12)/AI7</f>
        <v>0.28754578754578752</v>
      </c>
      <c r="AJ40" s="9">
        <f t="shared" si="266"/>
        <v>0.26999999999999996</v>
      </c>
      <c r="AK40" s="9">
        <f t="shared" si="266"/>
        <v>0.27</v>
      </c>
      <c r="AL40" s="9">
        <f t="shared" si="266"/>
        <v>0.26999999999999996</v>
      </c>
      <c r="AM40" s="7"/>
      <c r="AO40"/>
      <c r="AP40" s="9">
        <f t="shared" ref="AP40:BG40" si="267">(AP7-AP12)/AP7</f>
        <v>0.12221007268283257</v>
      </c>
      <c r="AQ40" s="9">
        <f t="shared" si="267"/>
        <v>0.12410189418680601</v>
      </c>
      <c r="AR40" s="9">
        <f t="shared" si="267"/>
        <v>9.0270812437311942E-3</v>
      </c>
      <c r="AS40" s="9">
        <f t="shared" si="267"/>
        <v>-4.6253137325206167E-2</v>
      </c>
      <c r="AT40" s="9">
        <f t="shared" si="267"/>
        <v>7.3676132003069841E-2</v>
      </c>
      <c r="AU40" s="9">
        <f t="shared" si="267"/>
        <v>0.18906379453189726</v>
      </c>
      <c r="AV40" s="9">
        <f t="shared" si="267"/>
        <v>0.26174895895300415</v>
      </c>
      <c r="AW40" s="9">
        <f t="shared" si="267"/>
        <v>0.27401665359926547</v>
      </c>
      <c r="AX40" s="9">
        <f t="shared" si="267"/>
        <v>0.3</v>
      </c>
      <c r="AY40" s="9">
        <f t="shared" si="267"/>
        <v>0.3</v>
      </c>
      <c r="AZ40" s="9">
        <f t="shared" si="267"/>
        <v>0.3000000000000001</v>
      </c>
      <c r="BA40" s="9">
        <f t="shared" si="267"/>
        <v>0.30000000000000004</v>
      </c>
      <c r="BB40" s="9">
        <f t="shared" si="267"/>
        <v>0.3000000000000001</v>
      </c>
      <c r="BC40" s="9">
        <f t="shared" si="267"/>
        <v>0.3</v>
      </c>
      <c r="BD40" s="9">
        <f t="shared" si="267"/>
        <v>0.3</v>
      </c>
      <c r="BE40" s="9">
        <f t="shared" si="267"/>
        <v>0.3000000000000001</v>
      </c>
      <c r="BF40" s="9">
        <f t="shared" si="267"/>
        <v>0.3000000000000001</v>
      </c>
      <c r="BG40" s="9">
        <f t="shared" si="267"/>
        <v>0.30000000000000004</v>
      </c>
    </row>
    <row r="41" spans="1:62" s="3" customFormat="1" x14ac:dyDescent="0.3">
      <c r="B41" s="8" t="s">
        <v>91</v>
      </c>
      <c r="C41" s="9">
        <f>(C8-C13)/C8</f>
        <v>-0.10949662688116256</v>
      </c>
      <c r="D41" s="9">
        <f t="shared" ref="D41:AH41" si="268">(D8-D13)/D8</f>
        <v>-0.25451180009254987</v>
      </c>
      <c r="E41" s="9">
        <f t="shared" si="268"/>
        <v>-0.20775805391190003</v>
      </c>
      <c r="F41" s="9">
        <f t="shared" si="268"/>
        <v>-0.30729166666666669</v>
      </c>
      <c r="G41" s="9">
        <f t="shared" si="268"/>
        <v>-0.44608959757023542</v>
      </c>
      <c r="H41" s="9">
        <f t="shared" si="268"/>
        <v>-0.43074074074074076</v>
      </c>
      <c r="I41" s="9">
        <f t="shared" si="268"/>
        <v>-0.36346920012258643</v>
      </c>
      <c r="J41" s="9">
        <f t="shared" si="268"/>
        <v>-0.25776689888909804</v>
      </c>
      <c r="K41" s="9">
        <f t="shared" si="268"/>
        <v>-0.39148073022312374</v>
      </c>
      <c r="L41" s="9">
        <f t="shared" si="268"/>
        <v>-0.228099173553719</v>
      </c>
      <c r="M41" s="9">
        <f t="shared" si="268"/>
        <v>-0.21715328467153286</v>
      </c>
      <c r="N41" s="9">
        <f t="shared" si="268"/>
        <v>-0.16206896551724137</v>
      </c>
      <c r="O41" s="9">
        <f t="shared" si="268"/>
        <v>-0.15714285714285714</v>
      </c>
      <c r="P41" s="9">
        <f t="shared" si="268"/>
        <v>-0.14579055441478439</v>
      </c>
      <c r="Q41" s="9">
        <f t="shared" si="268"/>
        <v>-0.10843373493975904</v>
      </c>
      <c r="R41" s="9">
        <f t="shared" si="268"/>
        <v>-0.21091445427728614</v>
      </c>
      <c r="S41" s="9">
        <f t="shared" si="268"/>
        <v>-7.7267637178051518E-2</v>
      </c>
      <c r="T41" s="9">
        <f t="shared" si="268"/>
        <v>-3.6803364879074658E-2</v>
      </c>
      <c r="U41" s="9">
        <f t="shared" si="268"/>
        <v>-1.7897091722595078E-2</v>
      </c>
      <c r="V41" s="9">
        <f t="shared" si="268"/>
        <v>1.5037593984962405E-2</v>
      </c>
      <c r="W41" s="9">
        <f t="shared" si="268"/>
        <v>-5.4730258014073496E-3</v>
      </c>
      <c r="X41" s="9">
        <f t="shared" si="268"/>
        <v>3.8199181446111868E-2</v>
      </c>
      <c r="Y41" s="9">
        <f t="shared" si="268"/>
        <v>4.0121580547112463E-2</v>
      </c>
      <c r="Z41" s="9">
        <f t="shared" si="268"/>
        <v>5.6437389770723101E-2</v>
      </c>
      <c r="AA41" s="9">
        <f t="shared" si="268"/>
        <v>7.348938486663037E-2</v>
      </c>
      <c r="AB41" s="9">
        <f t="shared" si="268"/>
        <v>7.7209302325581389E-2</v>
      </c>
      <c r="AC41" s="9">
        <f t="shared" si="268"/>
        <v>5.9556786703601108E-2</v>
      </c>
      <c r="AD41" s="9">
        <f t="shared" si="268"/>
        <v>2.7239150507848569E-2</v>
      </c>
      <c r="AE41" s="9">
        <f t="shared" si="268"/>
        <v>3.5402097902097904E-2</v>
      </c>
      <c r="AF41" s="9">
        <f t="shared" si="268"/>
        <v>6.4033742331288349E-2</v>
      </c>
      <c r="AG41" s="9">
        <f t="shared" si="268"/>
        <v>8.8172043010752682E-2</v>
      </c>
      <c r="AH41" s="9">
        <f t="shared" si="268"/>
        <v>4.1783707865168537E-2</v>
      </c>
      <c r="AI41" s="9">
        <f t="shared" ref="AI41:AL41" si="269">(AI8-AI13)/AI8</f>
        <v>3.828658074298711E-2</v>
      </c>
      <c r="AJ41" s="9">
        <f t="shared" si="269"/>
        <v>6.0000000000000053E-2</v>
      </c>
      <c r="AK41" s="9">
        <f t="shared" si="269"/>
        <v>6.0000000000000095E-2</v>
      </c>
      <c r="AL41" s="9">
        <f t="shared" si="269"/>
        <v>6.0000000000000095E-2</v>
      </c>
      <c r="AM41" s="7"/>
      <c r="AO41"/>
      <c r="AP41" s="9">
        <f t="shared" ref="AP41:BG41" si="270">(AP8-AP13)/AP8</f>
        <v>-0.35181190681622065</v>
      </c>
      <c r="AQ41" s="9">
        <f t="shared" si="270"/>
        <v>-0.24438454627133874</v>
      </c>
      <c r="AR41" s="9">
        <f t="shared" si="270"/>
        <v>-0.15828274067649609</v>
      </c>
      <c r="AS41" s="9">
        <f t="shared" si="270"/>
        <v>-2.7354024197790636E-2</v>
      </c>
      <c r="AT41" s="9">
        <f t="shared" si="270"/>
        <v>3.4641274010835658E-2</v>
      </c>
      <c r="AU41" s="9">
        <f t="shared" si="270"/>
        <v>5.8781103498016588E-2</v>
      </c>
      <c r="AV41" s="9">
        <f t="shared" si="270"/>
        <v>5.8192519460793624E-2</v>
      </c>
      <c r="AW41" s="9">
        <f t="shared" si="270"/>
        <v>5.5107869429308426E-2</v>
      </c>
      <c r="AX41" s="9">
        <f t="shared" si="270"/>
        <v>6.0000000000000053E-2</v>
      </c>
      <c r="AY41" s="9">
        <f t="shared" si="270"/>
        <v>6.0000000000000109E-2</v>
      </c>
      <c r="AZ41" s="9">
        <f t="shared" si="270"/>
        <v>6.000000000000013E-2</v>
      </c>
      <c r="BA41" s="9">
        <f t="shared" si="270"/>
        <v>7.9999999999999905E-2</v>
      </c>
      <c r="BB41" s="9">
        <f t="shared" si="270"/>
        <v>0.10000000000000003</v>
      </c>
      <c r="BC41" s="9">
        <f t="shared" si="270"/>
        <v>0.11999999999999998</v>
      </c>
      <c r="BD41" s="9">
        <f t="shared" si="270"/>
        <v>0.13000000000000003</v>
      </c>
      <c r="BE41" s="9">
        <f t="shared" si="270"/>
        <v>0.13999999999999999</v>
      </c>
      <c r="BF41" s="9">
        <f t="shared" si="270"/>
        <v>0.15000000000000008</v>
      </c>
      <c r="BG41" s="9">
        <f t="shared" si="270"/>
        <v>0.15000000000000002</v>
      </c>
      <c r="BI41"/>
      <c r="BJ41"/>
    </row>
    <row r="42" spans="1:62" x14ac:dyDescent="0.3">
      <c r="A42" s="3"/>
      <c r="B42" s="3" t="s">
        <v>25</v>
      </c>
      <c r="C42" s="7">
        <f t="shared" ref="C42:R42" si="271">C15/C9</f>
        <v>0.2477652906049479</v>
      </c>
      <c r="D42" s="7">
        <f t="shared" si="271"/>
        <v>0.23898469149965923</v>
      </c>
      <c r="E42" s="7">
        <f t="shared" si="271"/>
        <v>0.15044900147433307</v>
      </c>
      <c r="F42" s="7">
        <f t="shared" si="271"/>
        <v>0.13345092910799555</v>
      </c>
      <c r="G42" s="7">
        <f t="shared" si="271"/>
        <v>0.13398462711963849</v>
      </c>
      <c r="H42" s="7">
        <f t="shared" si="271"/>
        <v>0.15456317473010805</v>
      </c>
      <c r="I42" s="7">
        <f t="shared" si="271"/>
        <v>0.223290300836716</v>
      </c>
      <c r="J42" s="7">
        <f t="shared" si="271"/>
        <v>0.19966507971656333</v>
      </c>
      <c r="K42" s="7">
        <f t="shared" si="271"/>
        <v>0.1246421493063202</v>
      </c>
      <c r="L42" s="7">
        <f t="shared" si="271"/>
        <v>0.14503937007874015</v>
      </c>
      <c r="M42" s="7">
        <f t="shared" si="271"/>
        <v>0.18895763921941933</v>
      </c>
      <c r="N42" s="7">
        <f t="shared" si="271"/>
        <v>0.18838028169014084</v>
      </c>
      <c r="O42" s="7">
        <f t="shared" si="271"/>
        <v>0.20618212197159566</v>
      </c>
      <c r="P42" s="7">
        <f t="shared" si="271"/>
        <v>0.20990722332670642</v>
      </c>
      <c r="Q42" s="7">
        <f t="shared" si="271"/>
        <v>0.23520693193478509</v>
      </c>
      <c r="R42" s="7">
        <f t="shared" si="271"/>
        <v>0.19229337304542071</v>
      </c>
      <c r="S42" s="7">
        <f t="shared" ref="S42:V42" si="272">S15/S9</f>
        <v>0.21320627586870727</v>
      </c>
      <c r="T42" s="7">
        <f t="shared" si="272"/>
        <v>0.24117745442381669</v>
      </c>
      <c r="U42" s="7">
        <f t="shared" si="272"/>
        <v>0.26604637639020134</v>
      </c>
      <c r="V42" s="7">
        <f t="shared" si="272"/>
        <v>0.27354816863254133</v>
      </c>
      <c r="W42" s="7">
        <f t="shared" ref="W42:AH42" si="273">W15/W9</f>
        <v>0.29110684580934099</v>
      </c>
      <c r="X42" s="7">
        <f t="shared" si="273"/>
        <v>0.25002952639659853</v>
      </c>
      <c r="Y42" s="7">
        <f t="shared" si="273"/>
        <v>0.25086231005873033</v>
      </c>
      <c r="Z42" s="7">
        <f t="shared" si="273"/>
        <v>0.23756065465910026</v>
      </c>
      <c r="AA42" s="7">
        <f t="shared" si="273"/>
        <v>0.19336448197522396</v>
      </c>
      <c r="AB42" s="7">
        <f t="shared" si="273"/>
        <v>0.18185100493440848</v>
      </c>
      <c r="AC42" s="7">
        <f t="shared" si="273"/>
        <v>0.17892933618843684</v>
      </c>
      <c r="AD42" s="7">
        <f t="shared" si="273"/>
        <v>0.17634203520483172</v>
      </c>
      <c r="AE42" s="7">
        <f t="shared" si="273"/>
        <v>0.1735129806112389</v>
      </c>
      <c r="AF42" s="7">
        <f t="shared" si="273"/>
        <v>0.17952941176470588</v>
      </c>
      <c r="AG42" s="7">
        <f t="shared" si="273"/>
        <v>0.19843539035819235</v>
      </c>
      <c r="AH42" s="7">
        <f t="shared" si="273"/>
        <v>0.16256272610572994</v>
      </c>
      <c r="AI42" s="7">
        <f t="shared" ref="AI42:AL42" si="274">AI15/AI9</f>
        <v>0.16307214895267649</v>
      </c>
      <c r="AJ42" s="7">
        <f t="shared" si="274"/>
        <v>0.16186024621301259</v>
      </c>
      <c r="AK42" s="7">
        <f t="shared" si="274"/>
        <v>0.15584409218662179</v>
      </c>
      <c r="AL42" s="7">
        <f t="shared" si="274"/>
        <v>0.15422475768212554</v>
      </c>
      <c r="AM42" s="8"/>
      <c r="AO42" s="7">
        <f t="shared" ref="AO42:AW42" si="275">AO15/AO9</f>
        <v>0.18901334421963104</v>
      </c>
      <c r="AP42" s="7">
        <f t="shared" si="275"/>
        <v>0.18833556227603773</v>
      </c>
      <c r="AQ42" s="7">
        <f t="shared" si="275"/>
        <v>0.1655545609895028</v>
      </c>
      <c r="AR42" s="7">
        <f t="shared" si="275"/>
        <v>0.2102359208523592</v>
      </c>
      <c r="AS42" s="7">
        <f t="shared" si="275"/>
        <v>0.25279155751258753</v>
      </c>
      <c r="AT42" s="7">
        <f t="shared" si="275"/>
        <v>0.25598438535759005</v>
      </c>
      <c r="AU42" s="7">
        <f t="shared" si="275"/>
        <v>0.18248891736331416</v>
      </c>
      <c r="AV42" s="7">
        <f t="shared" si="275"/>
        <v>0.17862626676220697</v>
      </c>
      <c r="AW42" s="7">
        <f t="shared" si="275"/>
        <v>0.15850353140569545</v>
      </c>
      <c r="AX42" s="7">
        <f t="shared" ref="AX42:BB42" si="276">AX15/AX9</f>
        <v>0.19769469877530635</v>
      </c>
      <c r="AY42" s="7">
        <f t="shared" si="276"/>
        <v>0.19884601145454045</v>
      </c>
      <c r="AZ42" s="7">
        <f t="shared" si="276"/>
        <v>0.20501957712563265</v>
      </c>
      <c r="BA42" s="7">
        <f t="shared" si="276"/>
        <v>0.20696417910917403</v>
      </c>
      <c r="BB42" s="7">
        <f t="shared" si="276"/>
        <v>0.21393697334375553</v>
      </c>
      <c r="BC42" s="7">
        <f t="shared" ref="BC42:BG42" si="277">BC15/BC9</f>
        <v>0.21520162543345753</v>
      </c>
      <c r="BD42" s="7">
        <f t="shared" si="277"/>
        <v>0.21930069770531907</v>
      </c>
      <c r="BE42" s="7">
        <f t="shared" si="277"/>
        <v>0.21880310035343925</v>
      </c>
      <c r="BF42" s="7">
        <f t="shared" si="277"/>
        <v>0.22285016269534907</v>
      </c>
      <c r="BG42" s="7">
        <f t="shared" si="277"/>
        <v>0.21925608993093873</v>
      </c>
      <c r="BI42" t="s">
        <v>62</v>
      </c>
    </row>
    <row r="43" spans="1:62" x14ac:dyDescent="0.3">
      <c r="B43" t="s">
        <v>71</v>
      </c>
      <c r="C43" s="9"/>
      <c r="D43" s="9"/>
      <c r="E43" s="9"/>
      <c r="F43" s="9"/>
      <c r="G43" s="9">
        <f t="shared" ref="G43:R43" si="278">G16/C16-1</f>
        <v>0.13975155279503104</v>
      </c>
      <c r="H43" s="9">
        <f t="shared" si="278"/>
        <v>4.4360292128753143E-2</v>
      </c>
      <c r="I43" s="9">
        <f t="shared" si="278"/>
        <v>5.7901085645355899E-2</v>
      </c>
      <c r="J43" s="9">
        <f t="shared" si="278"/>
        <v>4.5121263395373479E-3</v>
      </c>
      <c r="K43" s="9">
        <f t="shared" si="278"/>
        <v>-7.3569482288828314E-2</v>
      </c>
      <c r="L43" s="9">
        <f t="shared" si="278"/>
        <v>-0.16083916083916094</v>
      </c>
      <c r="M43" s="9">
        <f t="shared" si="278"/>
        <v>-4.7890535917901933E-2</v>
      </c>
      <c r="N43" s="9">
        <f t="shared" si="278"/>
        <v>-3.1443009545199296E-2</v>
      </c>
      <c r="O43" s="9">
        <f t="shared" si="278"/>
        <v>-4.705882352941182E-2</v>
      </c>
      <c r="P43" s="9">
        <f t="shared" si="278"/>
        <v>-0.13888888888888884</v>
      </c>
      <c r="Q43" s="9">
        <f t="shared" si="278"/>
        <v>9.5808383233533023E-2</v>
      </c>
      <c r="R43" s="9">
        <f t="shared" si="278"/>
        <v>0.51304347826086949</v>
      </c>
      <c r="S43" s="9">
        <f t="shared" ref="S43" si="279">S16/O16-1</f>
        <v>1.0555555555555554</v>
      </c>
      <c r="T43" s="9">
        <f t="shared" ref="T43" si="280">T16/P16-1</f>
        <v>1.064516129032258</v>
      </c>
      <c r="U43" s="9">
        <f t="shared" ref="U43" si="281">U16/Q16-1</f>
        <v>0.6693989071038251</v>
      </c>
      <c r="V43" s="9">
        <f t="shared" ref="V43" si="282">V16/R16-1</f>
        <v>0.41762452107279691</v>
      </c>
      <c r="W43" s="9">
        <f t="shared" ref="W43" si="283">W16/S16-1</f>
        <v>0.29879879879879878</v>
      </c>
      <c r="X43" s="9">
        <f t="shared" ref="X43" si="284">X16/T16-1</f>
        <v>0.15798611111111116</v>
      </c>
      <c r="Y43" s="9">
        <f t="shared" ref="Y43" si="285">Y16/U16-1</f>
        <v>0.19967266775777404</v>
      </c>
      <c r="Z43" s="9">
        <f t="shared" ref="Z43" si="286">Z16/V16-1</f>
        <v>9.4594594594594517E-2</v>
      </c>
      <c r="AA43" s="9">
        <f t="shared" ref="AA43" si="287">AA16/W16-1</f>
        <v>-0.10867052023121382</v>
      </c>
      <c r="AB43" s="9">
        <f t="shared" ref="AB43" si="288">AB16/X16-1</f>
        <v>0.4137931034482758</v>
      </c>
      <c r="AC43" s="9">
        <f t="shared" ref="AC43" si="289">AC16/Y16-1</f>
        <v>0.58390177353342421</v>
      </c>
      <c r="AD43" s="9">
        <f t="shared" ref="AD43" si="290">AD16/Z16-1</f>
        <v>0.3506172839506172</v>
      </c>
      <c r="AE43" s="9">
        <f t="shared" ref="AE43" si="291">AE16/AA16-1</f>
        <v>0.49286640726329445</v>
      </c>
      <c r="AF43" s="9">
        <f t="shared" ref="AF43" si="292">AF16/AB16-1</f>
        <v>0.13891834570519612</v>
      </c>
      <c r="AG43" s="9">
        <f t="shared" ref="AG43" si="293">AG16/AC16-1</f>
        <v>-0.10508182601205862</v>
      </c>
      <c r="AH43" s="9">
        <f t="shared" ref="AH43" si="294">AH16/AD16-1</f>
        <v>0.16636197440584999</v>
      </c>
      <c r="AI43" s="9">
        <f t="shared" ref="AI43" si="295">AI16/AE16-1</f>
        <v>0.22415291051259767</v>
      </c>
      <c r="AJ43" s="9">
        <f t="shared" ref="AJ43" si="296">AJ16/AF16-1</f>
        <v>0.14999999999999991</v>
      </c>
      <c r="AK43" s="9">
        <f t="shared" ref="AK43" si="297">AK16/AG16-1</f>
        <v>0.14999999999999991</v>
      </c>
      <c r="AL43" s="9">
        <f t="shared" ref="AL43" si="298">AL16/AH16-1</f>
        <v>0.10000000000000009</v>
      </c>
      <c r="AM43" s="9"/>
      <c r="AN43" s="3"/>
      <c r="AO43" s="9"/>
      <c r="AP43" s="9">
        <f t="shared" ref="AP43:BG43" si="299">AP16/AO16-1</f>
        <v>5.965599825821899E-2</v>
      </c>
      <c r="AQ43" s="9">
        <f t="shared" si="299"/>
        <v>-8.0199986302308179E-2</v>
      </c>
      <c r="AR43" s="9">
        <f t="shared" si="299"/>
        <v>0.11020104244229345</v>
      </c>
      <c r="AS43" s="9">
        <f t="shared" si="299"/>
        <v>0.73910127431254202</v>
      </c>
      <c r="AT43" s="9">
        <f t="shared" si="299"/>
        <v>0.18588507520246811</v>
      </c>
      <c r="AU43" s="9">
        <f t="shared" si="299"/>
        <v>0.29073170731707321</v>
      </c>
      <c r="AV43" s="9">
        <f t="shared" si="299"/>
        <v>0.14386495338876282</v>
      </c>
      <c r="AW43" s="9">
        <f t="shared" si="299"/>
        <v>9.000000000000008E-2</v>
      </c>
      <c r="AX43" s="9">
        <f t="shared" si="299"/>
        <v>7.0000000000000062E-2</v>
      </c>
      <c r="AY43" s="9">
        <f t="shared" si="299"/>
        <v>5.0000000000000044E-2</v>
      </c>
      <c r="AZ43" s="9">
        <f t="shared" si="299"/>
        <v>4.0000000000000036E-2</v>
      </c>
      <c r="BA43" s="9">
        <f t="shared" si="299"/>
        <v>3.0000000000000027E-2</v>
      </c>
      <c r="BB43" s="9">
        <f t="shared" si="299"/>
        <v>3.0000000000000027E-2</v>
      </c>
      <c r="BC43" s="9">
        <f t="shared" si="299"/>
        <v>3.0000000000000027E-2</v>
      </c>
      <c r="BD43" s="9">
        <f t="shared" si="299"/>
        <v>3.0000000000000027E-2</v>
      </c>
      <c r="BE43" s="9">
        <f t="shared" si="299"/>
        <v>3.0000000000000027E-2</v>
      </c>
      <c r="BF43" s="9">
        <f t="shared" si="299"/>
        <v>3.0000000000000027E-2</v>
      </c>
      <c r="BG43" s="9">
        <f t="shared" si="299"/>
        <v>3.0000000000000027E-2</v>
      </c>
    </row>
    <row r="44" spans="1:62" x14ac:dyDescent="0.3">
      <c r="B44" t="s">
        <v>92</v>
      </c>
      <c r="C44" s="9">
        <f>C17/C9</f>
        <v>0.22380475501650532</v>
      </c>
      <c r="D44" s="9">
        <f t="shared" ref="D44:AH44" si="300">D17/D9</f>
        <v>0.19277238016706705</v>
      </c>
      <c r="E44" s="9">
        <f t="shared" si="300"/>
        <v>0.21877094223294466</v>
      </c>
      <c r="F44" s="9">
        <f t="shared" si="300"/>
        <v>0.20747544174447252</v>
      </c>
      <c r="G44" s="9">
        <f t="shared" si="300"/>
        <v>0.20137299771167044</v>
      </c>
      <c r="H44" s="9">
        <f t="shared" si="300"/>
        <v>0.18759996001599361</v>
      </c>
      <c r="I44" s="9">
        <f t="shared" si="300"/>
        <v>0.10694137127617484</v>
      </c>
      <c r="J44" s="9">
        <f t="shared" si="300"/>
        <v>9.236603188662533E-2</v>
      </c>
      <c r="K44" s="9">
        <f t="shared" si="300"/>
        <v>0.15503193129266682</v>
      </c>
      <c r="L44" s="9">
        <f t="shared" si="300"/>
        <v>0.10188976377952756</v>
      </c>
      <c r="M44" s="9">
        <f t="shared" si="300"/>
        <v>9.4558146914167862E-2</v>
      </c>
      <c r="N44" s="9">
        <f t="shared" si="300"/>
        <v>9.4664138678223181E-2</v>
      </c>
      <c r="O44" s="9">
        <f t="shared" si="300"/>
        <v>0.10476190476190476</v>
      </c>
      <c r="P44" s="9">
        <f t="shared" si="300"/>
        <v>0.10950960901259112</v>
      </c>
      <c r="Q44" s="9">
        <f t="shared" si="300"/>
        <v>0.10124273172956333</v>
      </c>
      <c r="R44" s="9">
        <f t="shared" si="300"/>
        <v>9.0189873417721514E-2</v>
      </c>
      <c r="S44" s="9">
        <f t="shared" si="300"/>
        <v>0.10164597170083742</v>
      </c>
      <c r="T44" s="9">
        <f t="shared" si="300"/>
        <v>8.1368121759491555E-2</v>
      </c>
      <c r="U44" s="9">
        <f t="shared" si="300"/>
        <v>7.2254125172639377E-2</v>
      </c>
      <c r="V44" s="9">
        <f t="shared" si="300"/>
        <v>8.4316270669902368E-2</v>
      </c>
      <c r="W44" s="9">
        <f t="shared" si="300"/>
        <v>5.2889741949242911E-2</v>
      </c>
      <c r="X44" s="9">
        <f t="shared" si="300"/>
        <v>5.6749734262430615E-2</v>
      </c>
      <c r="Y44" s="9">
        <f t="shared" si="300"/>
        <v>4.4793511699449985E-2</v>
      </c>
      <c r="Z44" s="9">
        <f t="shared" si="300"/>
        <v>4.2437700468788551E-2</v>
      </c>
      <c r="AA44" s="9">
        <f t="shared" si="300"/>
        <v>4.6122851386686099E-2</v>
      </c>
      <c r="AB44" s="9">
        <f t="shared" si="300"/>
        <v>4.7779516187266821E-2</v>
      </c>
      <c r="AC44" s="9">
        <f t="shared" si="300"/>
        <v>5.3661670235546036E-2</v>
      </c>
      <c r="AD44" s="9">
        <f t="shared" si="300"/>
        <v>5.0860253506576074E-2</v>
      </c>
      <c r="AE44" s="9">
        <f t="shared" si="300"/>
        <v>6.4504013896061224E-2</v>
      </c>
      <c r="AF44" s="9">
        <f t="shared" si="300"/>
        <v>5.0078431372549019E-2</v>
      </c>
      <c r="AG44" s="9">
        <f t="shared" si="300"/>
        <v>4.7097132872686839E-2</v>
      </c>
      <c r="AH44" s="9">
        <f t="shared" si="300"/>
        <v>5.1075582526160193E-2</v>
      </c>
      <c r="AI44" s="9">
        <f t="shared" ref="AI44:AL44" si="301">AI17/AI9</f>
        <v>6.470131885182312E-2</v>
      </c>
      <c r="AJ44" s="9">
        <f t="shared" si="301"/>
        <v>5.000000000000001E-2</v>
      </c>
      <c r="AK44" s="9">
        <f t="shared" si="301"/>
        <v>0.05</v>
      </c>
      <c r="AL44" s="9">
        <f t="shared" si="301"/>
        <v>0.05</v>
      </c>
      <c r="AM44" s="8"/>
      <c r="AO44" s="9">
        <f t="shared" ref="AO44:BF44" si="302">AO17/AO9</f>
        <v>0.21059883142397876</v>
      </c>
      <c r="AP44" s="9">
        <f t="shared" si="302"/>
        <v>0.13207300991141699</v>
      </c>
      <c r="AQ44" s="9">
        <f t="shared" si="302"/>
        <v>0.10765725445520384</v>
      </c>
      <c r="AR44" s="9">
        <f t="shared" si="302"/>
        <v>9.9727295788939629E-2</v>
      </c>
      <c r="AS44" s="9">
        <f t="shared" si="302"/>
        <v>8.3923229845976624E-2</v>
      </c>
      <c r="AT44" s="9">
        <f t="shared" si="302"/>
        <v>4.8439763325231394E-2</v>
      </c>
      <c r="AU44" s="9">
        <f t="shared" si="302"/>
        <v>4.9600611740878139E-2</v>
      </c>
      <c r="AV44" s="9">
        <f t="shared" si="302"/>
        <v>5.2717780734977994E-2</v>
      </c>
      <c r="AW44" s="9">
        <f t="shared" si="302"/>
        <v>5.2000000000000005E-2</v>
      </c>
      <c r="AX44" s="9">
        <f t="shared" si="302"/>
        <v>5.1999999999999998E-2</v>
      </c>
      <c r="AY44" s="9">
        <f t="shared" si="302"/>
        <v>5.1999999999999998E-2</v>
      </c>
      <c r="AZ44" s="9">
        <f t="shared" si="302"/>
        <v>5.1999999999999998E-2</v>
      </c>
      <c r="BA44" s="9">
        <f t="shared" si="302"/>
        <v>5.1999999999999998E-2</v>
      </c>
      <c r="BB44" s="9">
        <f t="shared" si="302"/>
        <v>5.1999999999999998E-2</v>
      </c>
      <c r="BC44" s="9">
        <f t="shared" si="302"/>
        <v>5.1999999999999998E-2</v>
      </c>
      <c r="BD44" s="9">
        <f t="shared" si="302"/>
        <v>5.1999999999999998E-2</v>
      </c>
      <c r="BE44" s="9">
        <f t="shared" si="302"/>
        <v>5.1999999999999998E-2</v>
      </c>
      <c r="BF44" s="9">
        <f t="shared" si="302"/>
        <v>5.1999999999999998E-2</v>
      </c>
      <c r="BG44" s="9">
        <f t="shared" ref="BG44" si="303">BG17/BG9</f>
        <v>5.2000000000000005E-2</v>
      </c>
    </row>
    <row r="45" spans="1:62" x14ac:dyDescent="0.3">
      <c r="B45" s="3" t="s">
        <v>26</v>
      </c>
      <c r="C45" s="16">
        <f t="shared" ref="C45:AH45" si="304">C20/C9</f>
        <v>-9.5471236230110154E-2</v>
      </c>
      <c r="D45" s="16">
        <f t="shared" si="304"/>
        <v>-8.6329903560033214E-2</v>
      </c>
      <c r="E45" s="16">
        <f t="shared" si="304"/>
        <v>-0.17943305186972272</v>
      </c>
      <c r="F45" s="16">
        <f t="shared" si="304"/>
        <v>-0.18186794805510781</v>
      </c>
      <c r="G45" s="16">
        <f t="shared" si="304"/>
        <v>-0.17505720823798634</v>
      </c>
      <c r="H45" s="16">
        <f t="shared" si="304"/>
        <v>-0.15536285485805673</v>
      </c>
      <c r="I45" s="16">
        <f t="shared" si="304"/>
        <v>6.1119821813226449E-2</v>
      </c>
      <c r="J45" s="16">
        <f t="shared" si="304"/>
        <v>5.7227081488042522E-2</v>
      </c>
      <c r="K45" s="16">
        <f t="shared" si="304"/>
        <v>-0.11495265360052852</v>
      </c>
      <c r="L45" s="16">
        <f t="shared" si="304"/>
        <v>-2.6299212598425197E-2</v>
      </c>
      <c r="M45" s="16">
        <f t="shared" si="304"/>
        <v>4.1408852927177532E-2</v>
      </c>
      <c r="N45" s="16">
        <f t="shared" si="304"/>
        <v>4.8618634886240519E-2</v>
      </c>
      <c r="O45" s="16">
        <f t="shared" si="304"/>
        <v>4.7284878863826235E-2</v>
      </c>
      <c r="P45" s="16">
        <f t="shared" si="304"/>
        <v>5.4174950298210733E-2</v>
      </c>
      <c r="Q45" s="16">
        <f t="shared" si="304"/>
        <v>9.2235776992361185E-2</v>
      </c>
      <c r="R45" s="16">
        <f t="shared" si="304"/>
        <v>5.3518242740134031E-2</v>
      </c>
      <c r="S45" s="16">
        <f t="shared" si="304"/>
        <v>5.7175859081721049E-2</v>
      </c>
      <c r="T45" s="16">
        <f t="shared" si="304"/>
        <v>0.10971734403746446</v>
      </c>
      <c r="U45" s="16">
        <f t="shared" si="304"/>
        <v>0.14567129461365122</v>
      </c>
      <c r="V45" s="16">
        <f t="shared" si="304"/>
        <v>0.1474688187820983</v>
      </c>
      <c r="W45" s="16">
        <f t="shared" si="304"/>
        <v>0.19209852847088932</v>
      </c>
      <c r="X45" s="16">
        <f t="shared" si="304"/>
        <v>0.1455060824376993</v>
      </c>
      <c r="Y45" s="16">
        <f t="shared" si="304"/>
        <v>0.17190267549174978</v>
      </c>
      <c r="Z45" s="16">
        <f t="shared" si="304"/>
        <v>0.16041615264413192</v>
      </c>
      <c r="AA45" s="16">
        <f t="shared" si="304"/>
        <v>0.11419263577521539</v>
      </c>
      <c r="AB45" s="16">
        <f t="shared" si="304"/>
        <v>9.6241023789465238E-2</v>
      </c>
      <c r="AC45" s="16">
        <f t="shared" si="304"/>
        <v>7.5546038543897215E-2</v>
      </c>
      <c r="AD45" s="16">
        <f t="shared" si="304"/>
        <v>8.2012158779353916E-2</v>
      </c>
      <c r="AE45" s="16">
        <f t="shared" si="304"/>
        <v>5.4973944885216654E-2</v>
      </c>
      <c r="AF45" s="16">
        <f t="shared" si="304"/>
        <v>6.2941176470588237E-2</v>
      </c>
      <c r="AG45" s="16">
        <f t="shared" si="304"/>
        <v>0.10789452783734413</v>
      </c>
      <c r="AH45" s="16">
        <f t="shared" si="304"/>
        <v>6.157855836931575E-2</v>
      </c>
      <c r="AI45" s="16">
        <f t="shared" ref="AI45:AL45" si="305">AI20/AI9</f>
        <v>2.0636152055857254E-2</v>
      </c>
      <c r="AJ45" s="16">
        <f t="shared" si="305"/>
        <v>5.2544943911957305E-2</v>
      </c>
      <c r="AK45" s="16">
        <f t="shared" si="305"/>
        <v>5.2112782462057416E-2</v>
      </c>
      <c r="AL45" s="16">
        <f t="shared" si="305"/>
        <v>4.3616681988528805E-2</v>
      </c>
      <c r="AM45" s="7"/>
      <c r="AN45" s="3"/>
      <c r="AO45" s="16">
        <f t="shared" ref="AO45:BG45" si="306">AO20/AO9</f>
        <v>-0.13877478121093056</v>
      </c>
      <c r="AP45" s="16">
        <f t="shared" si="306"/>
        <v>-1.8070745243498536E-2</v>
      </c>
      <c r="AQ45" s="16">
        <f t="shared" si="306"/>
        <v>-2.8073887216209618E-3</v>
      </c>
      <c r="AR45" s="16">
        <f t="shared" si="306"/>
        <v>6.3229325215626589E-2</v>
      </c>
      <c r="AS45" s="16">
        <f t="shared" si="306"/>
        <v>0.12119354179440016</v>
      </c>
      <c r="AT45" s="16">
        <f t="shared" si="306"/>
        <v>0.16763644398615304</v>
      </c>
      <c r="AU45" s="16">
        <f t="shared" si="306"/>
        <v>9.1874799789197395E-2</v>
      </c>
      <c r="AV45" s="16">
        <f t="shared" si="306"/>
        <v>7.2433207083631893E-2</v>
      </c>
      <c r="AW45" s="16">
        <f t="shared" si="306"/>
        <v>4.866153149335966E-2</v>
      </c>
      <c r="AX45" s="16">
        <f t="shared" si="306"/>
        <v>8.8189187954779771E-2</v>
      </c>
      <c r="AY45" s="16">
        <f t="shared" si="306"/>
        <v>9.0769829891290899E-2</v>
      </c>
      <c r="AZ45" s="16">
        <f t="shared" si="306"/>
        <v>9.8737959024414748E-2</v>
      </c>
      <c r="BA45" s="16">
        <f t="shared" si="306"/>
        <v>0.10307529183324632</v>
      </c>
      <c r="BB45" s="16">
        <f t="shared" si="306"/>
        <v>0.11179319612397894</v>
      </c>
      <c r="BC45" s="16">
        <f t="shared" si="306"/>
        <v>0.11443178861101407</v>
      </c>
      <c r="BD45" s="16">
        <f t="shared" si="306"/>
        <v>0.12010243729966377</v>
      </c>
      <c r="BE45" s="16">
        <f t="shared" si="306"/>
        <v>0.12136825536918237</v>
      </c>
      <c r="BF45" s="16">
        <f t="shared" si="306"/>
        <v>0.12735903158517883</v>
      </c>
      <c r="BG45" s="16">
        <f t="shared" si="306"/>
        <v>0.12587148053517017</v>
      </c>
    </row>
    <row r="46" spans="1:62" x14ac:dyDescent="0.3">
      <c r="B46" t="s">
        <v>47</v>
      </c>
      <c r="C46" s="9">
        <f t="shared" ref="C46:M46" si="307">C25/C24</f>
        <v>-6.7796610169491525E-2</v>
      </c>
      <c r="D46" s="9">
        <f t="shared" si="307"/>
        <v>-4.0445942442312609E-2</v>
      </c>
      <c r="E46" s="9">
        <f t="shared" si="307"/>
        <v>4.4682752457551357E-4</v>
      </c>
      <c r="F46" s="9">
        <f t="shared" si="307"/>
        <v>1.1542901115813775E-2</v>
      </c>
      <c r="G46" s="9">
        <f t="shared" si="307"/>
        <v>-7.1914729677667877E-3</v>
      </c>
      <c r="H46" s="9">
        <f t="shared" si="307"/>
        <v>-1.878513643219526E-2</v>
      </c>
      <c r="I46" s="9">
        <f t="shared" si="307"/>
        <v>6.1299852289512277E-2</v>
      </c>
      <c r="J46" s="9">
        <f t="shared" si="307"/>
        <v>9.4868477792151781E-2</v>
      </c>
      <c r="K46" s="9">
        <f t="shared" si="307"/>
        <v>-3.565891472868217E-2</v>
      </c>
      <c r="L46" s="9">
        <f t="shared" si="307"/>
        <v>-5.1351351351351354E-2</v>
      </c>
      <c r="M46" s="9">
        <f t="shared" si="307"/>
        <v>0.14772727272727273</v>
      </c>
      <c r="N46" s="9">
        <f>N25/N24</f>
        <v>0.2413793103448276</v>
      </c>
      <c r="O46" s="9">
        <f>O25/O24</f>
        <v>2.8571428571428571E-2</v>
      </c>
      <c r="P46" s="9">
        <f>P25/P24</f>
        <v>0.14000000000000001</v>
      </c>
      <c r="Q46" s="9">
        <f>Q25/Q24</f>
        <v>0.33513513513513515</v>
      </c>
      <c r="R46" s="9">
        <f>R25/R24</f>
        <v>0.21899736147757257</v>
      </c>
      <c r="S46" s="9">
        <f t="shared" ref="S46:V46" si="308">S25/S24</f>
        <v>0.12945590994371481</v>
      </c>
      <c r="T46" s="9">
        <f t="shared" si="308"/>
        <v>8.8940448569218872E-2</v>
      </c>
      <c r="U46" s="9">
        <f t="shared" si="308"/>
        <v>0.11849096705632306</v>
      </c>
      <c r="V46" s="9">
        <f t="shared" si="308"/>
        <v>0.11081593927893738</v>
      </c>
      <c r="W46" s="9">
        <f t="shared" ref="W46:AH46" si="309">W25/W24</f>
        <v>9.5421952564809703E-2</v>
      </c>
      <c r="X46" s="9">
        <f t="shared" si="309"/>
        <v>8.286176232821342E-2</v>
      </c>
      <c r="Y46" s="9">
        <f t="shared" si="309"/>
        <v>8.3883388338833881E-2</v>
      </c>
      <c r="Z46" s="9">
        <f t="shared" si="309"/>
        <v>6.929450163193572E-2</v>
      </c>
      <c r="AA46" s="9">
        <f t="shared" si="309"/>
        <v>9.3214285714285708E-2</v>
      </c>
      <c r="AB46" s="9">
        <f t="shared" si="309"/>
        <v>0.10997616615594144</v>
      </c>
      <c r="AC46" s="9">
        <f t="shared" si="309"/>
        <v>8.1662591687041569E-2</v>
      </c>
      <c r="AD46" s="9">
        <f t="shared" si="309"/>
        <v>-2.6252852578731174</v>
      </c>
      <c r="AE46" s="9">
        <f t="shared" si="309"/>
        <v>0.26336123631680619</v>
      </c>
      <c r="AF46" s="9">
        <f t="shared" si="309"/>
        <v>0.20826709062003179</v>
      </c>
      <c r="AG46" s="9">
        <f t="shared" si="309"/>
        <v>0.2158764367816092</v>
      </c>
      <c r="AH46" s="9">
        <f t="shared" si="309"/>
        <v>0.15690527838033261</v>
      </c>
      <c r="AI46" s="9">
        <f t="shared" ref="AI46:AL46" si="310">AI25/AI24</f>
        <v>0.28692699490662138</v>
      </c>
      <c r="AJ46" s="9">
        <f t="shared" si="310"/>
        <v>0.19999999999999998</v>
      </c>
      <c r="AK46" s="9">
        <f t="shared" si="310"/>
        <v>0.2</v>
      </c>
      <c r="AL46" s="9">
        <f t="shared" si="310"/>
        <v>0.2</v>
      </c>
      <c r="AM46" s="8"/>
      <c r="AO46" s="9">
        <f>AO25/AO24</f>
        <v>-1.4263074484944526E-2</v>
      </c>
      <c r="AP46" s="9">
        <f t="shared" ref="AP46:BB46" si="311">AP25/AP24</f>
        <v>-5.7594747836466807E-2</v>
      </c>
      <c r="AQ46" s="9">
        <f t="shared" si="311"/>
        <v>-0.16541353383458646</v>
      </c>
      <c r="AR46" s="9">
        <f t="shared" si="311"/>
        <v>0.2530329289428076</v>
      </c>
      <c r="AS46" s="9">
        <f t="shared" si="311"/>
        <v>0.11020022071574964</v>
      </c>
      <c r="AT46" s="9">
        <f t="shared" si="311"/>
        <v>8.2513302718857054E-2</v>
      </c>
      <c r="AU46" s="9">
        <f t="shared" si="311"/>
        <v>-0.50145392559911761</v>
      </c>
      <c r="AV46" s="9">
        <f t="shared" si="311"/>
        <v>0.20433815350389323</v>
      </c>
      <c r="AW46" s="9">
        <f t="shared" si="311"/>
        <v>0.2</v>
      </c>
      <c r="AX46" s="9">
        <f t="shared" si="311"/>
        <v>0.2</v>
      </c>
      <c r="AY46" s="9">
        <f t="shared" si="311"/>
        <v>0.2</v>
      </c>
      <c r="AZ46" s="9">
        <f t="shared" si="311"/>
        <v>0.2</v>
      </c>
      <c r="BA46" s="9">
        <f t="shared" si="311"/>
        <v>0.20000000000000004</v>
      </c>
      <c r="BB46" s="9">
        <f t="shared" si="311"/>
        <v>0.2</v>
      </c>
      <c r="BC46" s="9">
        <f>BC25/BC24</f>
        <v>0.2</v>
      </c>
      <c r="BD46" s="9">
        <f>BD25/BD24</f>
        <v>0.2</v>
      </c>
      <c r="BE46" s="9">
        <f>BE25/BE24</f>
        <v>0.2</v>
      </c>
      <c r="BF46" s="9">
        <f>BF25/BF24</f>
        <v>0.2</v>
      </c>
      <c r="BG46" s="9">
        <f t="shared" ref="BG46" si="312">BG25/BG24</f>
        <v>0.2</v>
      </c>
    </row>
    <row r="47" spans="1:62" x14ac:dyDescent="0.3">
      <c r="B47" t="s">
        <v>56</v>
      </c>
      <c r="C47" s="9">
        <f t="shared" ref="C47:R47" si="313">C26/C24</f>
        <v>0.17998385794995966</v>
      </c>
      <c r="D47" s="9">
        <f t="shared" si="313"/>
        <v>0.16852476017630252</v>
      </c>
      <c r="E47" s="9">
        <f t="shared" si="313"/>
        <v>7.7152219243372011E-2</v>
      </c>
      <c r="F47" s="9">
        <f t="shared" si="313"/>
        <v>0.12235475182762603</v>
      </c>
      <c r="G47" s="9">
        <f t="shared" si="313"/>
        <v>9.6314370104019484E-2</v>
      </c>
      <c r="H47" s="9">
        <f t="shared" si="313"/>
        <v>3.4416563828328542E-2</v>
      </c>
      <c r="I47" s="9">
        <f t="shared" si="313"/>
        <v>-0.20974889217134318</v>
      </c>
      <c r="J47" s="9">
        <f t="shared" si="313"/>
        <v>0.3018542475204829</v>
      </c>
      <c r="K47" s="9">
        <f t="shared" si="313"/>
        <v>-5.2713178294573643E-2</v>
      </c>
      <c r="L47" s="9">
        <f t="shared" si="313"/>
        <v>-5.1351351351351354E-2</v>
      </c>
      <c r="M47" s="9">
        <f t="shared" si="313"/>
        <v>3.9772727272727272E-2</v>
      </c>
      <c r="N47" s="9">
        <f t="shared" si="313"/>
        <v>0.15517241379310345</v>
      </c>
      <c r="O47" s="9">
        <f t="shared" si="313"/>
        <v>0.77142857142857146</v>
      </c>
      <c r="P47" s="9">
        <f t="shared" si="313"/>
        <v>0.16666666666666666</v>
      </c>
      <c r="Q47" s="9">
        <f t="shared" si="313"/>
        <v>6.8468468468468463E-2</v>
      </c>
      <c r="R47" s="9">
        <f t="shared" si="313"/>
        <v>6.860158311345646E-2</v>
      </c>
      <c r="S47" s="9">
        <f t="shared" ref="S47:V47" si="314">S26/S24</f>
        <v>4.878048780487805E-2</v>
      </c>
      <c r="T47" s="9">
        <f t="shared" si="314"/>
        <v>2.7842227378190254E-2</v>
      </c>
      <c r="U47" s="9">
        <f t="shared" si="314"/>
        <v>2.1785334750265676E-2</v>
      </c>
      <c r="V47" s="9">
        <f t="shared" si="314"/>
        <v>8.3491461100569254E-3</v>
      </c>
      <c r="W47" s="9">
        <f t="shared" ref="W47:AH47" si="315">W26/W24</f>
        <v>-1.0479867622724766E-2</v>
      </c>
      <c r="X47" s="9">
        <f t="shared" si="315"/>
        <v>4.0420371867421184E-3</v>
      </c>
      <c r="Y47" s="9">
        <f t="shared" si="315"/>
        <v>1.0726072607260726E-2</v>
      </c>
      <c r="Z47" s="9">
        <f t="shared" si="315"/>
        <v>5.0213406979663566E-3</v>
      </c>
      <c r="AA47" s="9">
        <f t="shared" si="315"/>
        <v>9.285714285714286E-3</v>
      </c>
      <c r="AB47" s="9">
        <f t="shared" si="315"/>
        <v>-3.0303030303030304E-2</v>
      </c>
      <c r="AC47" s="9">
        <f t="shared" si="315"/>
        <v>1.2224938875305624E-2</v>
      </c>
      <c r="AD47" s="9">
        <f t="shared" si="315"/>
        <v>6.8461889548151527E-3</v>
      </c>
      <c r="AE47" s="9">
        <f t="shared" si="315"/>
        <v>9.658725048293626E-3</v>
      </c>
      <c r="AF47" s="9">
        <f t="shared" si="315"/>
        <v>8.4790673025967149E-3</v>
      </c>
      <c r="AG47" s="9">
        <f t="shared" si="315"/>
        <v>5.7471264367816091E-3</v>
      </c>
      <c r="AH47" s="9">
        <f t="shared" si="315"/>
        <v>5.4229934924078091E-3</v>
      </c>
      <c r="AI47" s="9">
        <f t="shared" ref="AI47:AL47" si="316">AI26/AI24</f>
        <v>1.8675721561969439E-2</v>
      </c>
      <c r="AJ47" s="9">
        <f t="shared" si="316"/>
        <v>8.0000000000000002E-3</v>
      </c>
      <c r="AK47" s="9">
        <f t="shared" si="316"/>
        <v>8.0000000000000002E-3</v>
      </c>
      <c r="AL47" s="9">
        <f t="shared" si="316"/>
        <v>8.0000000000000002E-3</v>
      </c>
      <c r="AO47" s="9">
        <f t="shared" ref="AO47:BF47" si="317">AO26/AO24</f>
        <v>0.12637536789676246</v>
      </c>
      <c r="AP47" s="9">
        <f t="shared" si="317"/>
        <v>8.6441858151795586E-2</v>
      </c>
      <c r="AQ47" s="9">
        <f t="shared" si="317"/>
        <v>-0.13082706766917293</v>
      </c>
      <c r="AR47" s="9">
        <f t="shared" si="317"/>
        <v>0.12391681109185441</v>
      </c>
      <c r="AS47" s="9">
        <f t="shared" si="317"/>
        <v>1.9706763361185559E-2</v>
      </c>
      <c r="AT47" s="9">
        <f t="shared" si="317"/>
        <v>2.2596399154457322E-3</v>
      </c>
      <c r="AU47" s="9">
        <f t="shared" si="317"/>
        <v>-2.3062268123934622E-3</v>
      </c>
      <c r="AV47" s="9">
        <f t="shared" si="317"/>
        <v>6.8965517241379309E-3</v>
      </c>
      <c r="AW47" s="9">
        <f t="shared" si="317"/>
        <v>0.01</v>
      </c>
      <c r="AX47" s="9">
        <f t="shared" si="317"/>
        <v>0.01</v>
      </c>
      <c r="AY47" s="9">
        <f t="shared" si="317"/>
        <v>0.01</v>
      </c>
      <c r="AZ47" s="9">
        <f t="shared" si="317"/>
        <v>0.01</v>
      </c>
      <c r="BA47" s="9">
        <f t="shared" si="317"/>
        <v>0.01</v>
      </c>
      <c r="BB47" s="9">
        <f t="shared" si="317"/>
        <v>0.01</v>
      </c>
      <c r="BC47" s="9">
        <f t="shared" si="317"/>
        <v>0.01</v>
      </c>
      <c r="BD47" s="9">
        <f t="shared" si="317"/>
        <v>0.01</v>
      </c>
      <c r="BE47" s="9">
        <f t="shared" si="317"/>
        <v>0.01</v>
      </c>
      <c r="BF47" s="9">
        <f t="shared" si="317"/>
        <v>0.01</v>
      </c>
      <c r="BG47" s="9">
        <f t="shared" ref="BG47" si="318">BG26/BG24</f>
        <v>0.01</v>
      </c>
    </row>
    <row r="48" spans="1:62" s="3" customFormat="1" x14ac:dyDescent="0.3">
      <c r="B48" s="3" t="s">
        <v>97</v>
      </c>
      <c r="C48" s="9">
        <f>C27/C9</f>
        <v>-0.12239902080783355</v>
      </c>
      <c r="D48" s="9">
        <f t="shared" ref="D48:AH48" si="319">D27/D9</f>
        <v>-0.120567884415445</v>
      </c>
      <c r="E48" s="9">
        <f t="shared" si="319"/>
        <v>-0.20751239780190342</v>
      </c>
      <c r="F48" s="9">
        <f t="shared" si="319"/>
        <v>-0.2053769654207597</v>
      </c>
      <c r="G48" s="9">
        <f t="shared" si="319"/>
        <v>-0.20809129848031457</v>
      </c>
      <c r="H48" s="9">
        <f t="shared" si="319"/>
        <v>-0.17940323870451813</v>
      </c>
      <c r="I48" s="9">
        <f t="shared" si="319"/>
        <v>4.5572439664141561E-2</v>
      </c>
      <c r="J48" s="9">
        <f t="shared" si="319"/>
        <v>1.9361713906111609E-2</v>
      </c>
      <c r="K48" s="9">
        <f t="shared" si="319"/>
        <v>-0.15459149966967628</v>
      </c>
      <c r="L48" s="9">
        <f t="shared" si="319"/>
        <v>-6.425196850393701E-2</v>
      </c>
      <c r="M48" s="9">
        <f t="shared" si="319"/>
        <v>2.2687609075043629E-2</v>
      </c>
      <c r="N48" s="9">
        <f t="shared" si="319"/>
        <v>1.4219934994582881E-2</v>
      </c>
      <c r="O48" s="9">
        <f t="shared" si="319"/>
        <v>2.3391812865497076E-3</v>
      </c>
      <c r="P48" s="9">
        <f t="shared" si="319"/>
        <v>1.7229953611663355E-2</v>
      </c>
      <c r="Q48" s="9">
        <f t="shared" si="319"/>
        <v>3.773800022802417E-2</v>
      </c>
      <c r="R48" s="9">
        <f t="shared" si="319"/>
        <v>2.5130305286671629E-2</v>
      </c>
      <c r="S48" s="9">
        <f t="shared" si="319"/>
        <v>4.2159976898642794E-2</v>
      </c>
      <c r="T48" s="9">
        <f t="shared" si="319"/>
        <v>9.5500919886268604E-2</v>
      </c>
      <c r="U48" s="9">
        <f t="shared" si="319"/>
        <v>0.11761285163916552</v>
      </c>
      <c r="V48" s="9">
        <f t="shared" si="319"/>
        <v>0.13098933348383091</v>
      </c>
      <c r="W48" s="9">
        <f t="shared" si="319"/>
        <v>0.17690339091490723</v>
      </c>
      <c r="X48" s="9">
        <f t="shared" si="319"/>
        <v>0.13340025983229006</v>
      </c>
      <c r="Y48" s="9">
        <f t="shared" si="319"/>
        <v>0.15344457909946863</v>
      </c>
      <c r="Z48" s="9">
        <f t="shared" si="319"/>
        <v>0.15161608684924746</v>
      </c>
      <c r="AA48" s="9">
        <f t="shared" si="319"/>
        <v>0.10772000514381243</v>
      </c>
      <c r="AB48" s="9">
        <f t="shared" si="319"/>
        <v>0.10843663497412444</v>
      </c>
      <c r="AC48" s="9">
        <f t="shared" si="319"/>
        <v>7.9357601713062095E-2</v>
      </c>
      <c r="AD48" s="9">
        <f t="shared" si="319"/>
        <v>0.31501569515635552</v>
      </c>
      <c r="AE48" s="9">
        <f t="shared" si="319"/>
        <v>5.3002206469179851E-2</v>
      </c>
      <c r="AF48" s="9">
        <f t="shared" si="319"/>
        <v>5.7960784313725491E-2</v>
      </c>
      <c r="AG48" s="9">
        <f t="shared" si="319"/>
        <v>8.6053530299420214E-2</v>
      </c>
      <c r="AH48" s="9">
        <f t="shared" si="319"/>
        <v>9.0131092698486792E-2</v>
      </c>
      <c r="AI48" s="9">
        <f t="shared" ref="AI48:AL48" si="320">AI27/AI9</f>
        <v>2.1153348849237134E-2</v>
      </c>
      <c r="AJ48" s="9">
        <f t="shared" si="320"/>
        <v>5.1879871639591964E-2</v>
      </c>
      <c r="AK48" s="9">
        <f t="shared" si="320"/>
        <v>5.3635824890387922E-2</v>
      </c>
      <c r="AL48" s="9">
        <f t="shared" si="320"/>
        <v>4.6732221171977888E-2</v>
      </c>
      <c r="AO48" s="9">
        <f t="shared" ref="AO48:BG48" si="321">AO27/AO9</f>
        <v>-0.16677297816787021</v>
      </c>
      <c r="AP48" s="9">
        <f t="shared" si="321"/>
        <v>-4.5493730224928995E-2</v>
      </c>
      <c r="AQ48" s="9">
        <f t="shared" si="321"/>
        <v>-3.5072015623728539E-2</v>
      </c>
      <c r="AR48" s="9">
        <f t="shared" si="321"/>
        <v>2.2799340436326736E-2</v>
      </c>
      <c r="AS48" s="9">
        <f t="shared" si="321"/>
        <v>0.10253980640246735</v>
      </c>
      <c r="AT48" s="9">
        <f t="shared" si="321"/>
        <v>0.15413321548697553</v>
      </c>
      <c r="AU48" s="9">
        <f t="shared" si="321"/>
        <v>0.15497091130790613</v>
      </c>
      <c r="AV48" s="9">
        <f t="shared" si="321"/>
        <v>7.258675401781145E-2</v>
      </c>
      <c r="AW48" s="9">
        <f t="shared" si="321"/>
        <v>5.2919614102245841E-2</v>
      </c>
      <c r="AX48" s="9">
        <f t="shared" si="321"/>
        <v>8.6621679182545458E-2</v>
      </c>
      <c r="AY48" s="9">
        <f t="shared" si="321"/>
        <v>8.7857765389737844E-2</v>
      </c>
      <c r="AZ48" s="9">
        <f t="shared" si="321"/>
        <v>9.33929699670938E-2</v>
      </c>
      <c r="BA48" s="9">
        <f t="shared" si="321"/>
        <v>9.6029273913976851E-2</v>
      </c>
      <c r="BB48" s="9">
        <f t="shared" si="321"/>
        <v>0.10229825549687624</v>
      </c>
      <c r="BC48" s="9">
        <f t="shared" si="321"/>
        <v>0.10386036271434564</v>
      </c>
      <c r="BD48" s="9">
        <f t="shared" si="321"/>
        <v>0.10775904174109149</v>
      </c>
      <c r="BE48" s="9">
        <f t="shared" si="321"/>
        <v>0.1081259143119669</v>
      </c>
      <c r="BF48" s="9">
        <f t="shared" si="321"/>
        <v>0.11218141510057719</v>
      </c>
      <c r="BG48" s="9">
        <f t="shared" si="321"/>
        <v>0.11029393573507265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comp.net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Anton Mniszek</cp:lastModifiedBy>
  <dcterms:created xsi:type="dcterms:W3CDTF">2020-07-23T11:22:41Z</dcterms:created>
  <dcterms:modified xsi:type="dcterms:W3CDTF">2025-04-24T10:53:35Z</dcterms:modified>
</cp:coreProperties>
</file>