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3AB901E-CE5B-44F3-BAA2-7133F8EA34AA}" xr6:coauthVersionLast="47" xr6:coauthVersionMax="47" xr10:uidLastSave="{00000000-0000-0000-0000-000000000000}"/>
  <bookViews>
    <workbookView xWindow="-108" yWindow="-108" windowWidth="23256" windowHeight="12576" xr2:uid="{1911E082-F3EB-4149-9E06-B163ACF315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2" l="1"/>
  <c r="AA30" i="2"/>
  <c r="Z30" i="2"/>
  <c r="Y30" i="2"/>
  <c r="X30" i="2"/>
  <c r="W30" i="2"/>
  <c r="V30" i="2"/>
  <c r="U30" i="2"/>
  <c r="T30" i="2"/>
  <c r="S30" i="2"/>
  <c r="R30" i="2"/>
  <c r="Q30" i="2"/>
  <c r="N30" i="2"/>
  <c r="M30" i="2"/>
  <c r="L30" i="2"/>
  <c r="K30" i="2"/>
  <c r="J30" i="2"/>
  <c r="I30" i="2"/>
  <c r="H30" i="2"/>
  <c r="G30" i="2"/>
  <c r="X9" i="2"/>
  <c r="Y9" i="2" s="1"/>
  <c r="Z9" i="2" s="1"/>
  <c r="AA9" i="2" s="1"/>
  <c r="AB9" i="2" s="1"/>
  <c r="W9" i="2"/>
  <c r="V9" i="2"/>
  <c r="U9" i="2"/>
  <c r="T9" i="2"/>
  <c r="AB8" i="2"/>
  <c r="AA8" i="2"/>
  <c r="Z8" i="2"/>
  <c r="Y8" i="2"/>
  <c r="X8" i="2"/>
  <c r="AF32" i="2"/>
  <c r="AF29" i="2"/>
  <c r="X3" i="2"/>
  <c r="W3" i="2"/>
  <c r="V3" i="2"/>
  <c r="U3" i="2"/>
  <c r="T3" i="2"/>
  <c r="S3" i="2"/>
  <c r="S9" i="2"/>
  <c r="AB17" i="2"/>
  <c r="AA17" i="2"/>
  <c r="Z17" i="2"/>
  <c r="Y17" i="2"/>
  <c r="X17" i="2"/>
  <c r="W17" i="2"/>
  <c r="V17" i="2"/>
  <c r="U17" i="2"/>
  <c r="T17" i="2"/>
  <c r="S17" i="2"/>
  <c r="S11" i="2"/>
  <c r="S12" i="2" s="1"/>
  <c r="S29" i="2"/>
  <c r="R29" i="2"/>
  <c r="Q29" i="2"/>
  <c r="S28" i="2"/>
  <c r="S26" i="2"/>
  <c r="S24" i="2"/>
  <c r="S8" i="2"/>
  <c r="R28" i="2"/>
  <c r="R26" i="2"/>
  <c r="Q28" i="2"/>
  <c r="Q26" i="2"/>
  <c r="S5" i="2"/>
  <c r="S4" i="2" s="1"/>
  <c r="R19" i="2"/>
  <c r="R16" i="2"/>
  <c r="R15" i="2"/>
  <c r="R14" i="2"/>
  <c r="R13" i="2"/>
  <c r="R10" i="2"/>
  <c r="R9" i="2"/>
  <c r="R8" i="2"/>
  <c r="R7" i="2"/>
  <c r="R6" i="2"/>
  <c r="R4" i="2"/>
  <c r="N20" i="2"/>
  <c r="N22" i="2" s="1"/>
  <c r="M20" i="2"/>
  <c r="M22" i="2" s="1"/>
  <c r="L20" i="2"/>
  <c r="L22" i="2" s="1"/>
  <c r="K20" i="2"/>
  <c r="K22" i="2" s="1"/>
  <c r="N17" i="2"/>
  <c r="N18" i="2" s="1"/>
  <c r="M17" i="2"/>
  <c r="M18" i="2" s="1"/>
  <c r="L17" i="2"/>
  <c r="L18" i="2" s="1"/>
  <c r="K17" i="2"/>
  <c r="K18" i="2" s="1"/>
  <c r="N11" i="2"/>
  <c r="N12" i="2" s="1"/>
  <c r="M11" i="2"/>
  <c r="M12" i="2" s="1"/>
  <c r="L11" i="2"/>
  <c r="L12" i="2" s="1"/>
  <c r="K11" i="2"/>
  <c r="K12" i="2" s="1"/>
  <c r="N8" i="2"/>
  <c r="M8" i="2"/>
  <c r="L8" i="2"/>
  <c r="K8" i="2"/>
  <c r="K28" i="2" s="1"/>
  <c r="N9" i="2"/>
  <c r="M9" i="2"/>
  <c r="L9" i="2"/>
  <c r="K9" i="2"/>
  <c r="K29" i="2" s="1"/>
  <c r="N29" i="2"/>
  <c r="M29" i="2"/>
  <c r="L29" i="2"/>
  <c r="N28" i="2"/>
  <c r="M28" i="2"/>
  <c r="L28" i="2"/>
  <c r="N26" i="2"/>
  <c r="M26" i="2"/>
  <c r="L26" i="2"/>
  <c r="K26" i="2"/>
  <c r="N3" i="2"/>
  <c r="N5" i="2" s="1"/>
  <c r="N4" i="2" s="1"/>
  <c r="M3" i="2"/>
  <c r="L3" i="2"/>
  <c r="L5" i="2" s="1"/>
  <c r="L4" i="2" s="1"/>
  <c r="K3" i="2"/>
  <c r="L24" i="2" s="1"/>
  <c r="K24" i="2"/>
  <c r="K5" i="2"/>
  <c r="K4" i="2" s="1"/>
  <c r="I24" i="2"/>
  <c r="H24" i="2"/>
  <c r="J24" i="2"/>
  <c r="P19" i="2"/>
  <c r="P16" i="2"/>
  <c r="P15" i="2"/>
  <c r="P14" i="2"/>
  <c r="P13" i="2"/>
  <c r="P10" i="2"/>
  <c r="P9" i="2"/>
  <c r="P8" i="2"/>
  <c r="P7" i="2"/>
  <c r="P6" i="2"/>
  <c r="P4" i="2"/>
  <c r="P3" i="2"/>
  <c r="J28" i="2"/>
  <c r="I28" i="2"/>
  <c r="H28" i="2"/>
  <c r="G28" i="2"/>
  <c r="J29" i="2"/>
  <c r="J5" i="2"/>
  <c r="J26" i="2" s="1"/>
  <c r="J17" i="2"/>
  <c r="J11" i="2"/>
  <c r="Q19" i="2"/>
  <c r="Q16" i="2"/>
  <c r="Q15" i="2"/>
  <c r="Q14" i="2"/>
  <c r="Q13" i="2"/>
  <c r="Q10" i="2"/>
  <c r="Q9" i="2"/>
  <c r="Q8" i="2"/>
  <c r="Q7" i="2"/>
  <c r="Q6" i="2"/>
  <c r="Q3" i="2"/>
  <c r="H29" i="2"/>
  <c r="G29" i="2"/>
  <c r="I29" i="2"/>
  <c r="C17" i="2"/>
  <c r="C11" i="2"/>
  <c r="C5" i="2"/>
  <c r="G17" i="2"/>
  <c r="G11" i="2"/>
  <c r="G5" i="2"/>
  <c r="G26" i="2" s="1"/>
  <c r="D17" i="2"/>
  <c r="D11" i="2"/>
  <c r="D5" i="2"/>
  <c r="H17" i="2"/>
  <c r="H11" i="2"/>
  <c r="H5" i="2"/>
  <c r="H26" i="2" s="1"/>
  <c r="E17" i="2"/>
  <c r="E11" i="2"/>
  <c r="E5" i="2"/>
  <c r="I17" i="2"/>
  <c r="I11" i="2"/>
  <c r="I5" i="2"/>
  <c r="D9" i="1"/>
  <c r="D8" i="1"/>
  <c r="D7" i="1"/>
  <c r="D6" i="1"/>
  <c r="D5" i="1"/>
  <c r="F3" i="1"/>
  <c r="S18" i="2" l="1"/>
  <c r="S20" i="2" s="1"/>
  <c r="S22" i="2" s="1"/>
  <c r="T29" i="2"/>
  <c r="U29" i="2"/>
  <c r="R17" i="2"/>
  <c r="R11" i="2"/>
  <c r="N24" i="2"/>
  <c r="M5" i="2"/>
  <c r="M4" i="2" s="1"/>
  <c r="M24" i="2"/>
  <c r="R3" i="2"/>
  <c r="P5" i="2"/>
  <c r="I12" i="2"/>
  <c r="I18" i="2" s="1"/>
  <c r="I20" i="2" s="1"/>
  <c r="I22" i="2" s="1"/>
  <c r="P17" i="2"/>
  <c r="P11" i="2"/>
  <c r="I26" i="2"/>
  <c r="Q17" i="2"/>
  <c r="Q11" i="2"/>
  <c r="C12" i="2"/>
  <c r="C18" i="2" s="1"/>
  <c r="C20" i="2" s="1"/>
  <c r="C22" i="2" s="1"/>
  <c r="G12" i="2"/>
  <c r="G18" i="2" s="1"/>
  <c r="G20" i="2" s="1"/>
  <c r="G22" i="2" s="1"/>
  <c r="D12" i="2"/>
  <c r="D18" i="2" s="1"/>
  <c r="D20" i="2" s="1"/>
  <c r="D22" i="2" s="1"/>
  <c r="H12" i="2"/>
  <c r="H18" i="2" s="1"/>
  <c r="H20" i="2" s="1"/>
  <c r="H22" i="2" s="1"/>
  <c r="E12" i="2"/>
  <c r="E18" i="2" s="1"/>
  <c r="E20" i="2" s="1"/>
  <c r="E22" i="2" s="1"/>
  <c r="T24" i="2" l="1"/>
  <c r="T5" i="2"/>
  <c r="T26" i="2" s="1"/>
  <c r="T8" i="2"/>
  <c r="V29" i="2"/>
  <c r="R24" i="2"/>
  <c r="P12" i="2"/>
  <c r="P18" i="2" s="1"/>
  <c r="P20" i="2" s="1"/>
  <c r="P22" i="2" s="1"/>
  <c r="T4" i="2" l="1"/>
  <c r="U5" i="2"/>
  <c r="U26" i="2" s="1"/>
  <c r="U24" i="2"/>
  <c r="U8" i="2"/>
  <c r="U4" i="2"/>
  <c r="T11" i="2"/>
  <c r="T12" i="2" s="1"/>
  <c r="T18" i="2" s="1"/>
  <c r="T20" i="2" s="1"/>
  <c r="T22" i="2" s="1"/>
  <c r="T28" i="2"/>
  <c r="W29" i="2"/>
  <c r="U28" i="2" l="1"/>
  <c r="U11" i="2"/>
  <c r="U12" i="2" s="1"/>
  <c r="U18" i="2" s="1"/>
  <c r="U20" i="2" s="1"/>
  <c r="U22" i="2" s="1"/>
  <c r="V5" i="2"/>
  <c r="V8" i="2"/>
  <c r="V24" i="2"/>
  <c r="X29" i="2"/>
  <c r="V28" i="2" l="1"/>
  <c r="V11" i="2"/>
  <c r="V12" i="2" s="1"/>
  <c r="V18" i="2" s="1"/>
  <c r="V20" i="2" s="1"/>
  <c r="V22" i="2" s="1"/>
  <c r="V4" i="2"/>
  <c r="V26" i="2"/>
  <c r="W8" i="2"/>
  <c r="W24" i="2"/>
  <c r="W5" i="2"/>
  <c r="Y29" i="2"/>
  <c r="W4" i="2" l="1"/>
  <c r="W26" i="2"/>
  <c r="W28" i="2"/>
  <c r="W11" i="2"/>
  <c r="W12" i="2" s="1"/>
  <c r="W18" i="2" s="1"/>
  <c r="W20" i="2" s="1"/>
  <c r="W22" i="2" s="1"/>
  <c r="Y3" i="2"/>
  <c r="X24" i="2"/>
  <c r="X5" i="2"/>
  <c r="X26" i="2" s="1"/>
  <c r="Z29" i="2"/>
  <c r="Z3" i="2" l="1"/>
  <c r="Y24" i="2"/>
  <c r="Y5" i="2"/>
  <c r="Y26" i="2" s="1"/>
  <c r="X4" i="2"/>
  <c r="X28" i="2"/>
  <c r="X11" i="2"/>
  <c r="X12" i="2" s="1"/>
  <c r="X18" i="2" s="1"/>
  <c r="X20" i="2" s="1"/>
  <c r="X22" i="2" s="1"/>
  <c r="AB29" i="2"/>
  <c r="AA29" i="2"/>
  <c r="Y4" i="2" l="1"/>
  <c r="Y28" i="2"/>
  <c r="Y11" i="2"/>
  <c r="Y12" i="2" s="1"/>
  <c r="Y18" i="2" s="1"/>
  <c r="Y20" i="2" s="1"/>
  <c r="AA3" i="2"/>
  <c r="Z24" i="2"/>
  <c r="Z5" i="2"/>
  <c r="Y22" i="2" l="1"/>
  <c r="Z28" i="2"/>
  <c r="Z11" i="2"/>
  <c r="Z12" i="2" s="1"/>
  <c r="Z18" i="2" s="1"/>
  <c r="Z20" i="2" s="1"/>
  <c r="Z22" i="2" s="1"/>
  <c r="Z4" i="2"/>
  <c r="Z26" i="2"/>
  <c r="AB3" i="2"/>
  <c r="AA24" i="2"/>
  <c r="AA5" i="2"/>
  <c r="AA4" i="2" l="1"/>
  <c r="AA26" i="2"/>
  <c r="AB24" i="2"/>
  <c r="AB5" i="2"/>
  <c r="AB26" i="2" s="1"/>
  <c r="AB4" i="2"/>
  <c r="AA28" i="2"/>
  <c r="AA11" i="2"/>
  <c r="AA12" i="2" s="1"/>
  <c r="AA18" i="2" s="1"/>
  <c r="AA20" i="2" s="1"/>
  <c r="AA22" i="2" s="1"/>
  <c r="AB28" i="2" l="1"/>
  <c r="AB11" i="2"/>
  <c r="AB12" i="2" s="1"/>
  <c r="AB18" i="2" s="1"/>
  <c r="AB20" i="2" s="1"/>
  <c r="AB22" i="2" l="1"/>
  <c r="AC20" i="2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AF28" i="2" l="1"/>
  <c r="AF30" i="2" s="1"/>
  <c r="AF31" i="2" s="1"/>
  <c r="AF33" i="2" s="1"/>
  <c r="J4" i="2" l="1"/>
  <c r="Q4" i="2" s="1"/>
  <c r="Q5" i="2" s="1"/>
  <c r="Q12" i="2" s="1"/>
  <c r="Q18" i="2" s="1"/>
  <c r="Q20" i="2" s="1"/>
  <c r="Q22" i="2" s="1"/>
  <c r="J12" i="2"/>
  <c r="J18" i="2" s="1"/>
  <c r="J20" i="2" s="1"/>
  <c r="J22" i="2" s="1"/>
  <c r="R5" i="2"/>
  <c r="R12" i="2" s="1"/>
  <c r="R18" i="2" s="1"/>
  <c r="R20" i="2" s="1"/>
  <c r="R22" i="2" s="1"/>
</calcChain>
</file>

<file path=xl/sharedStrings.xml><?xml version="1.0" encoding="utf-8"?>
<sst xmlns="http://schemas.openxmlformats.org/spreadsheetml/2006/main" count="63" uniqueCount="59">
  <si>
    <t>UMAC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</si>
  <si>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</si>
  <si>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</si>
  <si>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</si>
  <si>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</si>
  <si>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</si>
  <si>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</si>
  <si>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</si>
  <si>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</si>
  <si>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</si>
  <si>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</si>
  <si>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Q324</t>
  </si>
  <si>
    <t>Revenue</t>
  </si>
  <si>
    <t>Cost of sales</t>
  </si>
  <si>
    <t>Gross profit</t>
  </si>
  <si>
    <t>Operational expense</t>
  </si>
  <si>
    <t>R&amp;D</t>
  </si>
  <si>
    <t>S&amp;M</t>
  </si>
  <si>
    <t>G&amp;A</t>
  </si>
  <si>
    <t>D&amp;A</t>
  </si>
  <si>
    <t>Total operating expenses</t>
  </si>
  <si>
    <t>Operating profit</t>
  </si>
  <si>
    <t>Interest income</t>
  </si>
  <si>
    <t>Interest expense</t>
  </si>
  <si>
    <t>Finance expense</t>
  </si>
  <si>
    <t>Finance income</t>
  </si>
  <si>
    <t>Net finance expense</t>
  </si>
  <si>
    <t>Pretax profit</t>
  </si>
  <si>
    <t>Taxes</t>
  </si>
  <si>
    <t>Net profit</t>
  </si>
  <si>
    <t>EPS</t>
  </si>
  <si>
    <t>Q123</t>
  </si>
  <si>
    <t>Q223</t>
  </si>
  <si>
    <t>Q323</t>
  </si>
  <si>
    <t>Q423</t>
  </si>
  <si>
    <t>Q124</t>
  </si>
  <si>
    <t>Q224</t>
  </si>
  <si>
    <t>Q424</t>
  </si>
  <si>
    <t>Revenue y/y</t>
  </si>
  <si>
    <t>Gross Margin</t>
  </si>
  <si>
    <t>G&amp;A y/y</t>
  </si>
  <si>
    <t>R&amp;D y/y</t>
  </si>
  <si>
    <t>S&amp;M Margin</t>
  </si>
  <si>
    <t>Revenue q/q</t>
  </si>
  <si>
    <t>Q125</t>
  </si>
  <si>
    <t>Q225</t>
  </si>
  <si>
    <t>Q325</t>
  </si>
  <si>
    <t>Q425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</si>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</sst>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</xdr:colOff>
      <xdr:row>0</xdr:row>
      <xdr:rowOff>0</xdr:rowOff>
    </xdr:from>
    <xdr:to>
      <xdr:col>16</xdr:col>
      <xdr:colOff>30480</xdr:colOff>
      <xdr:row>34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92BB4B-B132-7D2E-ACE9-D8574EC65345}"/>
            </a:ext>
          </a:extLst>
        </xdr:cNvPr>
        <xdr:cNvCxnSpPr/>
      </xdr:nvCxnSpPr>
      <xdr:spPr>
        <a:xfrm>
          <a:off x="944118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0</xdr:row>
      <xdr:rowOff>7620</xdr:rowOff>
    </xdr:from>
    <xdr:to>
      <xdr:col>9</xdr:col>
      <xdr:colOff>15240</xdr:colOff>
      <xdr:row>34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939C60A-971D-DA90-1F9A-B916AC064999}"/>
            </a:ext>
          </a:extLst>
        </xdr:cNvPr>
        <xdr:cNvCxnSpPr/>
      </xdr:nvCxnSpPr>
      <xdr:spPr>
        <a:xfrm>
          <a:off x="63779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E418-8661-4C51-AA5B-B10B048996D2}">
  <dimension ref="B2:G9"/>
  <sheetViews>
    <sheetView tabSelected="1" workbookViewId="0">
      <selection activeCell="D4" sqref="D4"/>
    </sheetView>
  </sheetViews>
  <sheetFormatPr defaultRowHeight="14.4" x14ac:dyDescent="0.3"/>
  <cols>
    <col min="5" max="7" width="13.554687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3">
        <v>7.21</v>
      </c>
      <c r="E3" s="5">
        <v>45736</v>
      </c>
      <c r="F3" s="5">
        <f ca="1">TODAY()</f>
        <v>45736</v>
      </c>
      <c r="G3" s="5">
        <v>45743</v>
      </c>
    </row>
    <row r="4" spans="2:7" x14ac:dyDescent="0.3">
      <c r="C4" t="s">
        <v>2</v>
      </c>
      <c r="D4" s="2">
        <v>8.3000000000000007</v>
      </c>
      <c r="E4" s="4" t="s">
        <v>11</v>
      </c>
    </row>
    <row r="5" spans="2:7" x14ac:dyDescent="0.3">
      <c r="C5" t="s">
        <v>3</v>
      </c>
      <c r="D5" s="2">
        <f>D3*D4</f>
        <v>59.843000000000004</v>
      </c>
    </row>
    <row r="6" spans="2:7" x14ac:dyDescent="0.3">
      <c r="C6" t="s">
        <v>4</v>
      </c>
      <c r="D6" s="2">
        <f>1.7</f>
        <v>1.7</v>
      </c>
      <c r="E6" s="4" t="s">
        <v>11</v>
      </c>
    </row>
    <row r="7" spans="2:7" x14ac:dyDescent="0.3">
      <c r="C7" t="s">
        <v>5</v>
      </c>
      <c r="D7" s="2">
        <f>3</f>
        <v>3</v>
      </c>
      <c r="E7" s="4" t="s">
        <v>11</v>
      </c>
    </row>
    <row r="8" spans="2:7" x14ac:dyDescent="0.3">
      <c r="C8" t="s">
        <v>6</v>
      </c>
      <c r="D8" s="2">
        <f>D6-D7</f>
        <v>-1.3</v>
      </c>
    </row>
    <row r="9" spans="2:7" x14ac:dyDescent="0.3">
      <c r="C9" t="s">
        <v>7</v>
      </c>
      <c r="D9" s="2">
        <f>D5-D8</f>
        <v>61.143000000000001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B56C-692C-4EF6-A389-CF69118537CB}">
  <dimension ref="B2:EK34"/>
  <sheetViews>
    <sheetView workbookViewId="0">
      <pane xSplit="2" ySplit="2" topLeftCell="N11" activePane="bottomRight" state="frozen"/>
      <selection pane="topRight" activeCell="C1" sqref="C1"/>
      <selection pane="bottomLeft" activeCell="A3" sqref="A3"/>
      <selection pane="bottomRight" activeCell="AB30" sqref="AB30"/>
    </sheetView>
  </sheetViews>
  <sheetFormatPr defaultRowHeight="14.4" x14ac:dyDescent="0.3"/>
  <cols>
    <col min="2" max="2" width="21.6640625" bestFit="1" customWidth="1"/>
    <col min="31" max="31" width="11.88671875" bestFit="1" customWidth="1"/>
    <col min="32" max="32" width="12.88671875" customWidth="1"/>
  </cols>
  <sheetData>
    <row r="2" spans="2:28" x14ac:dyDescent="0.3"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11</v>
      </c>
      <c r="J2" s="6" t="s">
        <v>37</v>
      </c>
      <c r="K2" s="6" t="s">
        <v>44</v>
      </c>
      <c r="L2" s="6" t="s">
        <v>45</v>
      </c>
      <c r="M2" s="6" t="s">
        <v>46</v>
      </c>
      <c r="N2" s="6" t="s">
        <v>47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</row>
    <row r="3" spans="2:28" s="1" customFormat="1" x14ac:dyDescent="0.3">
      <c r="B3" s="1" t="s">
        <v>12</v>
      </c>
      <c r="C3" s="8">
        <v>0</v>
      </c>
      <c r="D3" s="8">
        <v>0</v>
      </c>
      <c r="E3" s="8">
        <v>0</v>
      </c>
      <c r="G3" s="8">
        <v>0.6</v>
      </c>
      <c r="H3" s="8">
        <v>1.4</v>
      </c>
      <c r="I3" s="8">
        <v>1.5</v>
      </c>
      <c r="J3" s="8">
        <v>2</v>
      </c>
      <c r="K3" s="8">
        <f>G3*2.5</f>
        <v>1.5</v>
      </c>
      <c r="L3" s="8">
        <f>H3*1.9</f>
        <v>2.6599999999999997</v>
      </c>
      <c r="M3" s="8">
        <f>I3*2</f>
        <v>3</v>
      </c>
      <c r="N3" s="8">
        <f>J3*2</f>
        <v>4</v>
      </c>
      <c r="P3" s="8">
        <f>SUM(C3:F3)</f>
        <v>0</v>
      </c>
      <c r="Q3" s="8">
        <f>SUM(G3:J3)</f>
        <v>5.5</v>
      </c>
      <c r="R3" s="8">
        <f>SUM(K3:N3)</f>
        <v>11.16</v>
      </c>
      <c r="S3" s="8">
        <f>R3*1.9</f>
        <v>21.204000000000001</v>
      </c>
      <c r="T3" s="8">
        <f>S3*1.8</f>
        <v>38.167200000000001</v>
      </c>
      <c r="U3" s="8">
        <f>T3*1.7</f>
        <v>64.884240000000005</v>
      </c>
      <c r="V3" s="8">
        <f>U3*1.6</f>
        <v>103.81478400000002</v>
      </c>
      <c r="W3" s="8">
        <f>V3*1.5</f>
        <v>155.72217600000002</v>
      </c>
      <c r="X3" s="8">
        <f>W3*1.3</f>
        <v>202.43882880000004</v>
      </c>
      <c r="Y3" s="8">
        <f t="shared" ref="Y3:AB3" si="0">X3*1.2</f>
        <v>242.92659456000004</v>
      </c>
      <c r="Z3" s="8">
        <f t="shared" si="0"/>
        <v>291.51191347200006</v>
      </c>
      <c r="AA3" s="8">
        <f t="shared" si="0"/>
        <v>349.81429616640008</v>
      </c>
      <c r="AB3" s="8">
        <f t="shared" si="0"/>
        <v>419.77715539968011</v>
      </c>
    </row>
    <row r="4" spans="2:28" x14ac:dyDescent="0.3">
      <c r="B4" t="s">
        <v>13</v>
      </c>
      <c r="C4" s="2">
        <v>0</v>
      </c>
      <c r="D4" s="2">
        <v>0</v>
      </c>
      <c r="E4" s="2">
        <v>0</v>
      </c>
      <c r="G4" s="2">
        <v>0.4</v>
      </c>
      <c r="H4" s="2">
        <v>1</v>
      </c>
      <c r="I4" s="2">
        <v>1.1000000000000001</v>
      </c>
      <c r="J4" s="2">
        <f>J3-J5</f>
        <v>1.5</v>
      </c>
      <c r="K4" s="2">
        <f>K3-K5</f>
        <v>1.02</v>
      </c>
      <c r="L4" s="2">
        <f t="shared" ref="L4:N4" si="1">L3-L5</f>
        <v>1.8619999999999997</v>
      </c>
      <c r="M4" s="2">
        <f t="shared" si="1"/>
        <v>2.16</v>
      </c>
      <c r="N4" s="2">
        <f t="shared" si="1"/>
        <v>2.96</v>
      </c>
      <c r="P4" s="10">
        <f>SUM(C4:F4)</f>
        <v>0</v>
      </c>
      <c r="Q4" s="10">
        <f>SUM(G4:J4)</f>
        <v>4</v>
      </c>
      <c r="R4" s="10">
        <f>SUM(K4:N4)</f>
        <v>8.0019999999999989</v>
      </c>
      <c r="S4" s="2">
        <f>S3-S5</f>
        <v>14.8428</v>
      </c>
      <c r="T4" s="2">
        <f t="shared" ref="T4:AB4" si="2">T3-T5</f>
        <v>26.717040000000001</v>
      </c>
      <c r="U4" s="2">
        <f t="shared" si="2"/>
        <v>45.418968000000007</v>
      </c>
      <c r="V4" s="2">
        <f t="shared" si="2"/>
        <v>72.670348800000014</v>
      </c>
      <c r="W4" s="2">
        <f t="shared" si="2"/>
        <v>109.00552320000001</v>
      </c>
      <c r="X4" s="2">
        <f t="shared" si="2"/>
        <v>141.70718016000004</v>
      </c>
      <c r="Y4" s="2">
        <f t="shared" si="2"/>
        <v>170.04861619200003</v>
      </c>
      <c r="Z4" s="2">
        <f t="shared" si="2"/>
        <v>204.05833943040005</v>
      </c>
      <c r="AA4" s="2">
        <f t="shared" si="2"/>
        <v>244.87000731648004</v>
      </c>
      <c r="AB4" s="2">
        <f t="shared" si="2"/>
        <v>293.84400877977612</v>
      </c>
    </row>
    <row r="5" spans="2:28" s="1" customFormat="1" x14ac:dyDescent="0.3">
      <c r="B5" s="1" t="s">
        <v>14</v>
      </c>
      <c r="C5" s="8">
        <f>C3-C4</f>
        <v>0</v>
      </c>
      <c r="D5" s="8">
        <f>D3-D4</f>
        <v>0</v>
      </c>
      <c r="E5" s="8">
        <f>E3-E4</f>
        <v>0</v>
      </c>
      <c r="G5" s="8">
        <f>G3-G4</f>
        <v>0.19999999999999996</v>
      </c>
      <c r="H5" s="8">
        <f>H3-H4</f>
        <v>0.39999999999999991</v>
      </c>
      <c r="I5" s="8">
        <f>I3-I4</f>
        <v>0.39999999999999991</v>
      </c>
      <c r="J5" s="8">
        <f>J3*0.25</f>
        <v>0.5</v>
      </c>
      <c r="K5" s="8">
        <f>K3*0.32</f>
        <v>0.48</v>
      </c>
      <c r="L5" s="8">
        <f>L3*0.3</f>
        <v>0.79799999999999993</v>
      </c>
      <c r="M5" s="8">
        <f>M3*0.28</f>
        <v>0.84000000000000008</v>
      </c>
      <c r="N5" s="8">
        <f>N3*0.26</f>
        <v>1.04</v>
      </c>
      <c r="P5" s="8">
        <f>P3-P4</f>
        <v>0</v>
      </c>
      <c r="Q5" s="8">
        <f>Q3-Q4</f>
        <v>1.5</v>
      </c>
      <c r="R5" s="8">
        <f>R3-R4</f>
        <v>3.1580000000000013</v>
      </c>
      <c r="S5" s="8">
        <f>S3*0.3</f>
        <v>6.3612000000000002</v>
      </c>
      <c r="T5" s="8">
        <f t="shared" ref="T5:AB5" si="3">T3*0.3</f>
        <v>11.45016</v>
      </c>
      <c r="U5" s="8">
        <f t="shared" si="3"/>
        <v>19.465272000000002</v>
      </c>
      <c r="V5" s="8">
        <f t="shared" si="3"/>
        <v>31.144435200000004</v>
      </c>
      <c r="W5" s="8">
        <f t="shared" si="3"/>
        <v>46.716652800000006</v>
      </c>
      <c r="X5" s="8">
        <f t="shared" si="3"/>
        <v>60.73164864000001</v>
      </c>
      <c r="Y5" s="8">
        <f t="shared" si="3"/>
        <v>72.877978368000015</v>
      </c>
      <c r="Z5" s="8">
        <f t="shared" si="3"/>
        <v>87.453574041600021</v>
      </c>
      <c r="AA5" s="8">
        <f t="shared" si="3"/>
        <v>104.94428884992003</v>
      </c>
      <c r="AB5" s="8">
        <f t="shared" si="3"/>
        <v>125.93314661990402</v>
      </c>
    </row>
    <row r="6" spans="2:28" x14ac:dyDescent="0.3">
      <c r="B6" t="s">
        <v>15</v>
      </c>
      <c r="C6" s="2">
        <v>0</v>
      </c>
      <c r="D6" s="2">
        <v>0</v>
      </c>
      <c r="E6" s="2">
        <v>0</v>
      </c>
      <c r="G6" s="2">
        <v>0.1</v>
      </c>
      <c r="H6" s="2">
        <v>0.2</v>
      </c>
      <c r="I6" s="2">
        <v>0.2</v>
      </c>
      <c r="J6" s="2">
        <v>0.2</v>
      </c>
      <c r="K6" s="2">
        <v>0</v>
      </c>
      <c r="L6" s="2">
        <v>0</v>
      </c>
      <c r="M6" s="2">
        <v>0</v>
      </c>
      <c r="N6" s="2">
        <v>0</v>
      </c>
      <c r="P6" s="10">
        <f>SUM(C6:F6)</f>
        <v>0</v>
      </c>
      <c r="Q6" s="10">
        <f>SUM(G6:J6)</f>
        <v>0.7</v>
      </c>
      <c r="R6" s="10">
        <f>SUM(K6:N6)</f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2:28" x14ac:dyDescent="0.3">
      <c r="B7" t="s">
        <v>16</v>
      </c>
      <c r="C7" s="2">
        <v>0</v>
      </c>
      <c r="D7" s="2">
        <v>0</v>
      </c>
      <c r="E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P7" s="10">
        <f>SUM(C7:F7)</f>
        <v>0</v>
      </c>
      <c r="Q7" s="10">
        <f>SUM(G7:J7)</f>
        <v>0</v>
      </c>
      <c r="R7" s="10">
        <f>SUM(K7:N7)</f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3">
      <c r="B8" t="s">
        <v>17</v>
      </c>
      <c r="C8" s="2">
        <v>0</v>
      </c>
      <c r="D8" s="2">
        <v>0</v>
      </c>
      <c r="E8" s="2">
        <v>0</v>
      </c>
      <c r="G8" s="2">
        <v>0.2</v>
      </c>
      <c r="H8" s="2">
        <v>0.4</v>
      </c>
      <c r="I8" s="2">
        <v>0.3</v>
      </c>
      <c r="J8" s="2">
        <v>0.4</v>
      </c>
      <c r="K8" s="2">
        <f>K3*0.3</f>
        <v>0.44999999999999996</v>
      </c>
      <c r="L8" s="2">
        <f t="shared" ref="L8:N8" si="4">L3*0.3</f>
        <v>0.79799999999999993</v>
      </c>
      <c r="M8" s="2">
        <f t="shared" si="4"/>
        <v>0.89999999999999991</v>
      </c>
      <c r="N8" s="2">
        <f t="shared" si="4"/>
        <v>1.2</v>
      </c>
      <c r="P8" s="10">
        <f>SUM(C8:F8)</f>
        <v>0</v>
      </c>
      <c r="Q8" s="10">
        <f>SUM(G8:J8)</f>
        <v>1.3000000000000003</v>
      </c>
      <c r="R8" s="10">
        <f>SUM(K8:N8)</f>
        <v>3.3479999999999999</v>
      </c>
      <c r="S8" s="2">
        <f>S3*0.27</f>
        <v>5.7250800000000002</v>
      </c>
      <c r="T8" s="2">
        <f>T3*0.24</f>
        <v>9.1601280000000003</v>
      </c>
      <c r="U8" s="2">
        <f>U3*0.23</f>
        <v>14.923375200000002</v>
      </c>
      <c r="V8" s="2">
        <f>V3*0.2</f>
        <v>20.762956800000005</v>
      </c>
      <c r="W8" s="2">
        <f>W3*0.19</f>
        <v>29.587213440000003</v>
      </c>
      <c r="X8" s="2">
        <f>X3*0.18</f>
        <v>36.438989184000008</v>
      </c>
      <c r="Y8" s="2">
        <f>Y3*0.17</f>
        <v>41.297521075200009</v>
      </c>
      <c r="Z8" s="2">
        <f>Z3*0.16</f>
        <v>46.641906155520012</v>
      </c>
      <c r="AA8" s="2">
        <f>AA3*0.15</f>
        <v>52.472144424960014</v>
      </c>
      <c r="AB8" s="2">
        <f>AB3*0.14</f>
        <v>58.768801755955224</v>
      </c>
    </row>
    <row r="9" spans="2:28" x14ac:dyDescent="0.3">
      <c r="B9" t="s">
        <v>18</v>
      </c>
      <c r="C9" s="2">
        <v>0.6</v>
      </c>
      <c r="D9" s="2">
        <v>0.4</v>
      </c>
      <c r="E9" s="2">
        <v>0.4</v>
      </c>
      <c r="G9" s="2">
        <v>1</v>
      </c>
      <c r="H9" s="2">
        <v>1.3</v>
      </c>
      <c r="I9" s="2">
        <v>1.4</v>
      </c>
      <c r="J9" s="2">
        <v>1.5</v>
      </c>
      <c r="K9" s="2">
        <f>G9*1.4</f>
        <v>1.4</v>
      </c>
      <c r="L9" s="2">
        <f t="shared" ref="L9:N9" si="5">H9*1.4</f>
        <v>1.8199999999999998</v>
      </c>
      <c r="M9" s="2">
        <f t="shared" si="5"/>
        <v>1.9599999999999997</v>
      </c>
      <c r="N9" s="2">
        <f t="shared" si="5"/>
        <v>2.0999999999999996</v>
      </c>
      <c r="P9" s="10">
        <f>SUM(C9:F9)</f>
        <v>1.4</v>
      </c>
      <c r="Q9" s="10">
        <f>SUM(G9:J9)</f>
        <v>5.1999999999999993</v>
      </c>
      <c r="R9" s="10">
        <f>SUM(K9:N9)</f>
        <v>7.2799999999999994</v>
      </c>
      <c r="S9" s="2">
        <f>R9*1.4</f>
        <v>10.191999999999998</v>
      </c>
      <c r="T9" s="2">
        <f>S9*1.3</f>
        <v>13.249599999999999</v>
      </c>
      <c r="U9" s="2">
        <f>T9*1.2</f>
        <v>15.899519999999999</v>
      </c>
      <c r="V9" s="2">
        <f>U9*1.1</f>
        <v>17.489471999999999</v>
      </c>
      <c r="W9" s="2">
        <f>V9*1.1</f>
        <v>19.238419199999999</v>
      </c>
      <c r="X9" s="2">
        <f t="shared" ref="X9:AB9" si="6">W9*1.1</f>
        <v>21.16226112</v>
      </c>
      <c r="Y9" s="2">
        <f t="shared" si="6"/>
        <v>23.278487232000003</v>
      </c>
      <c r="Z9" s="2">
        <f t="shared" si="6"/>
        <v>25.606335955200006</v>
      </c>
      <c r="AA9" s="2">
        <f t="shared" si="6"/>
        <v>28.166969550720008</v>
      </c>
      <c r="AB9" s="2">
        <f t="shared" si="6"/>
        <v>30.983666505792012</v>
      </c>
    </row>
    <row r="10" spans="2:28" x14ac:dyDescent="0.3">
      <c r="B10" t="s">
        <v>19</v>
      </c>
      <c r="C10" s="2">
        <v>0</v>
      </c>
      <c r="D10" s="2">
        <v>0</v>
      </c>
      <c r="E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P10" s="10">
        <f>SUM(C10:F10)</f>
        <v>0</v>
      </c>
      <c r="Q10" s="10">
        <f>SUM(G10:J10)</f>
        <v>0</v>
      </c>
      <c r="R10" s="10">
        <f>SUM(K10:N10)</f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3">
      <c r="B11" t="s">
        <v>20</v>
      </c>
      <c r="C11" s="2">
        <f>SUM(C6:C10)</f>
        <v>0.6</v>
      </c>
      <c r="D11" s="2">
        <f>SUM(D6:D10)</f>
        <v>0.4</v>
      </c>
      <c r="E11" s="2">
        <f>SUM(E6:E10)</f>
        <v>0.4</v>
      </c>
      <c r="G11" s="2">
        <f>SUM(G6:G10)</f>
        <v>1.3</v>
      </c>
      <c r="H11" s="2">
        <f>SUM(H6:H10)</f>
        <v>1.9000000000000001</v>
      </c>
      <c r="I11" s="2">
        <f>SUM(I6:I10)</f>
        <v>1.9</v>
      </c>
      <c r="J11" s="2">
        <f>SUM(J6:J10)</f>
        <v>2.1</v>
      </c>
      <c r="K11" s="2">
        <f t="shared" ref="K11:N11" si="7">SUM(K6:K10)</f>
        <v>1.8499999999999999</v>
      </c>
      <c r="L11" s="2">
        <f t="shared" si="7"/>
        <v>2.6179999999999999</v>
      </c>
      <c r="M11" s="2">
        <f t="shared" si="7"/>
        <v>2.8599999999999994</v>
      </c>
      <c r="N11" s="2">
        <f t="shared" si="7"/>
        <v>3.3</v>
      </c>
      <c r="P11" s="2">
        <f>SUM(P6:P10)</f>
        <v>1.4</v>
      </c>
      <c r="Q11" s="2">
        <f>SUM(Q6:Q10)</f>
        <v>7.1999999999999993</v>
      </c>
      <c r="R11" s="2">
        <f>SUM(R6:R10)</f>
        <v>10.628</v>
      </c>
      <c r="S11" s="2">
        <f>SUM(S6:S10)</f>
        <v>15.917079999999999</v>
      </c>
      <c r="T11" s="2">
        <f t="shared" ref="T11:AB11" si="8">SUM(T6:T10)</f>
        <v>22.409728000000001</v>
      </c>
      <c r="U11" s="2">
        <f t="shared" si="8"/>
        <v>30.822895200000001</v>
      </c>
      <c r="V11" s="2">
        <f t="shared" si="8"/>
        <v>38.252428800000004</v>
      </c>
      <c r="W11" s="2">
        <f t="shared" si="8"/>
        <v>48.825632640000002</v>
      </c>
      <c r="X11" s="2">
        <f t="shared" si="8"/>
        <v>57.601250304000004</v>
      </c>
      <c r="Y11" s="2">
        <f t="shared" si="8"/>
        <v>64.576008307200013</v>
      </c>
      <c r="Z11" s="2">
        <f t="shared" si="8"/>
        <v>72.248242110720014</v>
      </c>
      <c r="AA11" s="2">
        <f t="shared" si="8"/>
        <v>80.639113975680019</v>
      </c>
      <c r="AB11" s="2">
        <f t="shared" si="8"/>
        <v>89.752468261747239</v>
      </c>
    </row>
    <row r="12" spans="2:28" s="1" customFormat="1" x14ac:dyDescent="0.3">
      <c r="B12" s="1" t="s">
        <v>21</v>
      </c>
      <c r="C12" s="8">
        <f>C5-C11</f>
        <v>-0.6</v>
      </c>
      <c r="D12" s="8">
        <f>D5-D11</f>
        <v>-0.4</v>
      </c>
      <c r="E12" s="8">
        <f>E5-E11</f>
        <v>-0.4</v>
      </c>
      <c r="G12" s="8">
        <f>G5-G11</f>
        <v>-1.1000000000000001</v>
      </c>
      <c r="H12" s="8">
        <f>H5-H11</f>
        <v>-1.5000000000000002</v>
      </c>
      <c r="I12" s="8">
        <f>I5-I11</f>
        <v>-1.5</v>
      </c>
      <c r="J12" s="8">
        <f>J5-J11</f>
        <v>-1.6</v>
      </c>
      <c r="K12" s="8">
        <f t="shared" ref="K12:N12" si="9">K5-K11</f>
        <v>-1.3699999999999999</v>
      </c>
      <c r="L12" s="8">
        <f t="shared" si="9"/>
        <v>-1.8199999999999998</v>
      </c>
      <c r="M12" s="8">
        <f t="shared" si="9"/>
        <v>-2.0199999999999996</v>
      </c>
      <c r="N12" s="8">
        <f t="shared" si="9"/>
        <v>-2.2599999999999998</v>
      </c>
      <c r="P12" s="8">
        <f>P5-P11</f>
        <v>-1.4</v>
      </c>
      <c r="Q12" s="8">
        <f>Q5-Q11</f>
        <v>-5.6999999999999993</v>
      </c>
      <c r="R12" s="8">
        <f>R5-R11</f>
        <v>-7.4699999999999989</v>
      </c>
      <c r="S12" s="8">
        <f>S5-S11</f>
        <v>-9.5558799999999984</v>
      </c>
      <c r="T12" s="8">
        <f t="shared" ref="T12:AB12" si="10">T5-T11</f>
        <v>-10.959568000000001</v>
      </c>
      <c r="U12" s="8">
        <f t="shared" si="10"/>
        <v>-11.357623199999999</v>
      </c>
      <c r="V12" s="8">
        <f t="shared" si="10"/>
        <v>-7.1079936000000004</v>
      </c>
      <c r="W12" s="8">
        <f t="shared" si="10"/>
        <v>-2.1089798399999964</v>
      </c>
      <c r="X12" s="8">
        <f t="shared" si="10"/>
        <v>3.1303983360000061</v>
      </c>
      <c r="Y12" s="8">
        <f t="shared" si="10"/>
        <v>8.3019700608000022</v>
      </c>
      <c r="Z12" s="8">
        <f t="shared" si="10"/>
        <v>15.205331930880007</v>
      </c>
      <c r="AA12" s="8">
        <f t="shared" si="10"/>
        <v>24.305174874240009</v>
      </c>
      <c r="AB12" s="8">
        <f t="shared" si="10"/>
        <v>36.180678358156783</v>
      </c>
    </row>
    <row r="13" spans="2:28" x14ac:dyDescent="0.3">
      <c r="B13" t="s">
        <v>22</v>
      </c>
      <c r="C13" s="2">
        <v>0</v>
      </c>
      <c r="D13" s="2">
        <v>0</v>
      </c>
      <c r="E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P13" s="10">
        <f>SUM(C13:F13)</f>
        <v>0</v>
      </c>
      <c r="Q13" s="10">
        <f>SUM(G13:J13)</f>
        <v>0</v>
      </c>
      <c r="R13" s="10">
        <f>SUM(K13:N13)</f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3">
      <c r="B14" t="s">
        <v>23</v>
      </c>
      <c r="C14" s="2">
        <v>0</v>
      </c>
      <c r="D14" s="2">
        <v>0</v>
      </c>
      <c r="E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P14" s="10">
        <f>SUM(C14:F14)</f>
        <v>0</v>
      </c>
      <c r="Q14" s="10">
        <f>SUM(G14:J14)</f>
        <v>0</v>
      </c>
      <c r="R14" s="10">
        <f>SUM(K14:N14)</f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3">
      <c r="B15" t="s">
        <v>24</v>
      </c>
      <c r="C15" s="2">
        <v>0</v>
      </c>
      <c r="D15" s="2">
        <v>0</v>
      </c>
      <c r="E15" s="2">
        <v>0</v>
      </c>
      <c r="G15" s="2">
        <v>0</v>
      </c>
      <c r="H15" s="2">
        <v>0</v>
      </c>
      <c r="I15" s="2">
        <v>0.7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P15" s="10">
        <f>SUM(C15:F15)</f>
        <v>0</v>
      </c>
      <c r="Q15" s="10">
        <f>SUM(G15:J15)</f>
        <v>0.7</v>
      </c>
      <c r="R15" s="10">
        <f>SUM(K15:N15)</f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3">
      <c r="B16" t="s">
        <v>25</v>
      </c>
      <c r="C16" s="2">
        <v>0</v>
      </c>
      <c r="D16" s="2">
        <v>0</v>
      </c>
      <c r="E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P16" s="10">
        <f>SUM(C16:F16)</f>
        <v>0</v>
      </c>
      <c r="Q16" s="10">
        <f>SUM(G16:J16)</f>
        <v>0</v>
      </c>
      <c r="R16" s="10">
        <f>SUM(K16:N16)</f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141" x14ac:dyDescent="0.3">
      <c r="B17" t="s">
        <v>26</v>
      </c>
      <c r="C17" s="2">
        <f>SUM(C13:C16)</f>
        <v>0</v>
      </c>
      <c r="D17" s="2">
        <f>SUM(D13:D16)</f>
        <v>0</v>
      </c>
      <c r="E17" s="2">
        <f>SUM(E13:E16)</f>
        <v>0</v>
      </c>
      <c r="G17" s="2">
        <f>SUM(G13:G16)</f>
        <v>0</v>
      </c>
      <c r="H17" s="2">
        <f>SUM(H13:H16)</f>
        <v>0</v>
      </c>
      <c r="I17" s="2">
        <f>SUM(I13:I16)</f>
        <v>0.7</v>
      </c>
      <c r="J17" s="2">
        <f>SUM(J13:J16)</f>
        <v>0</v>
      </c>
      <c r="K17" s="2">
        <f t="shared" ref="K17:N17" si="11">SUM(K13:K16)</f>
        <v>0</v>
      </c>
      <c r="L17" s="2">
        <f t="shared" si="11"/>
        <v>0</v>
      </c>
      <c r="M17" s="2">
        <f t="shared" si="11"/>
        <v>0</v>
      </c>
      <c r="N17" s="2">
        <f t="shared" si="11"/>
        <v>0</v>
      </c>
      <c r="P17" s="2">
        <f>SUM(P13:P16)</f>
        <v>0</v>
      </c>
      <c r="Q17" s="2">
        <f>SUM(Q13:Q16)</f>
        <v>0.7</v>
      </c>
      <c r="R17" s="2">
        <f>SUM(R13:R16)</f>
        <v>0</v>
      </c>
      <c r="S17" s="2">
        <f>SUM(S13:S16)</f>
        <v>0</v>
      </c>
      <c r="T17" s="2">
        <f t="shared" ref="T17:AB17" si="12">SUM(T13:T16)</f>
        <v>0</v>
      </c>
      <c r="U17" s="2">
        <f t="shared" si="12"/>
        <v>0</v>
      </c>
      <c r="V17" s="2">
        <f t="shared" si="12"/>
        <v>0</v>
      </c>
      <c r="W17" s="2">
        <f t="shared" si="12"/>
        <v>0</v>
      </c>
      <c r="X17" s="2">
        <f t="shared" si="12"/>
        <v>0</v>
      </c>
      <c r="Y17" s="2">
        <f t="shared" si="12"/>
        <v>0</v>
      </c>
      <c r="Z17" s="2">
        <f t="shared" si="12"/>
        <v>0</v>
      </c>
      <c r="AA17" s="2">
        <f t="shared" si="12"/>
        <v>0</v>
      </c>
      <c r="AB17" s="2">
        <f t="shared" si="12"/>
        <v>0</v>
      </c>
    </row>
    <row r="18" spans="2:141" s="1" customFormat="1" x14ac:dyDescent="0.3">
      <c r="B18" s="1" t="s">
        <v>27</v>
      </c>
      <c r="C18" s="8">
        <f>C12-C17</f>
        <v>-0.6</v>
      </c>
      <c r="D18" s="8">
        <f>D12-D17</f>
        <v>-0.4</v>
      </c>
      <c r="E18" s="8">
        <f>E12-E17</f>
        <v>-0.4</v>
      </c>
      <c r="G18" s="8">
        <f>G12-G17</f>
        <v>-1.1000000000000001</v>
      </c>
      <c r="H18" s="8">
        <f>H12-H17</f>
        <v>-1.5000000000000002</v>
      </c>
      <c r="I18" s="8">
        <f>I12-I17</f>
        <v>-2.2000000000000002</v>
      </c>
      <c r="J18" s="8">
        <f>J12-J17</f>
        <v>-1.6</v>
      </c>
      <c r="K18" s="8">
        <f t="shared" ref="K18:N18" si="13">K12-K17</f>
        <v>-1.3699999999999999</v>
      </c>
      <c r="L18" s="8">
        <f t="shared" si="13"/>
        <v>-1.8199999999999998</v>
      </c>
      <c r="M18" s="8">
        <f t="shared" si="13"/>
        <v>-2.0199999999999996</v>
      </c>
      <c r="N18" s="8">
        <f t="shared" si="13"/>
        <v>-2.2599999999999998</v>
      </c>
      <c r="P18" s="8">
        <f>P12-P17</f>
        <v>-1.4</v>
      </c>
      <c r="Q18" s="8">
        <f>Q12-Q17</f>
        <v>-6.3999999999999995</v>
      </c>
      <c r="R18" s="8">
        <f>R12-R17</f>
        <v>-7.4699999999999989</v>
      </c>
      <c r="S18" s="8">
        <f>S12-S17</f>
        <v>-9.5558799999999984</v>
      </c>
      <c r="T18" s="8">
        <f t="shared" ref="T18:AB18" si="14">T12-T17</f>
        <v>-10.959568000000001</v>
      </c>
      <c r="U18" s="8">
        <f t="shared" si="14"/>
        <v>-11.357623199999999</v>
      </c>
      <c r="V18" s="8">
        <f t="shared" si="14"/>
        <v>-7.1079936000000004</v>
      </c>
      <c r="W18" s="8">
        <f t="shared" si="14"/>
        <v>-2.1089798399999964</v>
      </c>
      <c r="X18" s="8">
        <f t="shared" si="14"/>
        <v>3.1303983360000061</v>
      </c>
      <c r="Y18" s="8">
        <f t="shared" si="14"/>
        <v>8.3019700608000022</v>
      </c>
      <c r="Z18" s="8">
        <f t="shared" si="14"/>
        <v>15.205331930880007</v>
      </c>
      <c r="AA18" s="8">
        <f t="shared" si="14"/>
        <v>24.305174874240009</v>
      </c>
      <c r="AB18" s="8">
        <f t="shared" si="14"/>
        <v>36.180678358156783</v>
      </c>
    </row>
    <row r="19" spans="2:141" x14ac:dyDescent="0.3">
      <c r="B19" t="s">
        <v>28</v>
      </c>
      <c r="C19" s="2">
        <v>0</v>
      </c>
      <c r="D19" s="2">
        <v>0</v>
      </c>
      <c r="E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P19" s="10">
        <f>SUM(C19:F19)</f>
        <v>0</v>
      </c>
      <c r="Q19" s="10">
        <f>SUM(G19:J19)</f>
        <v>0</v>
      </c>
      <c r="R19" s="10">
        <f>SUM(K19:N19)</f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141" s="1" customFormat="1" x14ac:dyDescent="0.3">
      <c r="B20" s="1" t="s">
        <v>29</v>
      </c>
      <c r="C20" s="8">
        <f>C18-C19</f>
        <v>-0.6</v>
      </c>
      <c r="D20" s="8">
        <f>D18-D19</f>
        <v>-0.4</v>
      </c>
      <c r="E20" s="8">
        <f>E18-E19</f>
        <v>-0.4</v>
      </c>
      <c r="G20" s="8">
        <f>G18-G19</f>
        <v>-1.1000000000000001</v>
      </c>
      <c r="H20" s="8">
        <f>H18-H19</f>
        <v>-1.5000000000000002</v>
      </c>
      <c r="I20" s="8">
        <f>I18-I19</f>
        <v>-2.2000000000000002</v>
      </c>
      <c r="J20" s="8">
        <f>J18-J19</f>
        <v>-1.6</v>
      </c>
      <c r="K20" s="8">
        <f t="shared" ref="K20:N20" si="15">K18-K19</f>
        <v>-1.3699999999999999</v>
      </c>
      <c r="L20" s="8">
        <f t="shared" si="15"/>
        <v>-1.8199999999999998</v>
      </c>
      <c r="M20" s="8">
        <f t="shared" si="15"/>
        <v>-2.0199999999999996</v>
      </c>
      <c r="N20" s="8">
        <f t="shared" si="15"/>
        <v>-2.2599999999999998</v>
      </c>
      <c r="P20" s="8">
        <f>P18-P19</f>
        <v>-1.4</v>
      </c>
      <c r="Q20" s="8">
        <f>Q18-Q19</f>
        <v>-6.3999999999999995</v>
      </c>
      <c r="R20" s="8">
        <f>R18-R19</f>
        <v>-7.4699999999999989</v>
      </c>
      <c r="S20" s="8">
        <f>S18-S19</f>
        <v>-9.5558799999999984</v>
      </c>
      <c r="T20" s="8">
        <f t="shared" ref="T20:AB20" si="16">T18-T19</f>
        <v>-10.959568000000001</v>
      </c>
      <c r="U20" s="8">
        <f t="shared" si="16"/>
        <v>-11.357623199999999</v>
      </c>
      <c r="V20" s="8">
        <f t="shared" si="16"/>
        <v>-7.1079936000000004</v>
      </c>
      <c r="W20" s="8">
        <f t="shared" si="16"/>
        <v>-2.1089798399999964</v>
      </c>
      <c r="X20" s="8">
        <f t="shared" si="16"/>
        <v>3.1303983360000061</v>
      </c>
      <c r="Y20" s="8">
        <f t="shared" si="16"/>
        <v>8.3019700608000022</v>
      </c>
      <c r="Z20" s="8">
        <f t="shared" si="16"/>
        <v>15.205331930880007</v>
      </c>
      <c r="AA20" s="8">
        <f t="shared" si="16"/>
        <v>24.305174874240009</v>
      </c>
      <c r="AB20" s="8">
        <f t="shared" si="16"/>
        <v>36.180678358156783</v>
      </c>
      <c r="AC20" s="1">
        <f>AB20*(1+$AF$26)</f>
        <v>35.818871574575212</v>
      </c>
      <c r="AD20" s="1">
        <f t="shared" ref="AD20:CO20" si="17">AC20*(1+$AF$26)</f>
        <v>35.460682858829458</v>
      </c>
      <c r="AE20" s="1">
        <f t="shared" si="17"/>
        <v>35.106076030241162</v>
      </c>
      <c r="AF20" s="1">
        <f t="shared" si="17"/>
        <v>34.755015269938752</v>
      </c>
      <c r="AG20" s="1">
        <f t="shared" si="17"/>
        <v>34.407465117239362</v>
      </c>
      <c r="AH20" s="1">
        <f t="shared" si="17"/>
        <v>34.06339046606697</v>
      </c>
      <c r="AI20" s="1">
        <f t="shared" si="17"/>
        <v>33.7227565614063</v>
      </c>
      <c r="AJ20" s="1">
        <f t="shared" si="17"/>
        <v>33.385528995792235</v>
      </c>
      <c r="AK20" s="1">
        <f t="shared" si="17"/>
        <v>33.051673705834311</v>
      </c>
      <c r="AL20" s="1">
        <f t="shared" si="17"/>
        <v>32.721156968775965</v>
      </c>
      <c r="AM20" s="1">
        <f t="shared" si="17"/>
        <v>32.393945399088203</v>
      </c>
      <c r="AN20" s="1">
        <f t="shared" si="17"/>
        <v>32.070005945097321</v>
      </c>
      <c r="AO20" s="1">
        <f t="shared" si="17"/>
        <v>31.749305885646347</v>
      </c>
      <c r="AP20" s="1">
        <f t="shared" si="17"/>
        <v>31.431812826789884</v>
      </c>
      <c r="AQ20" s="1">
        <f t="shared" si="17"/>
        <v>31.117494698521984</v>
      </c>
      <c r="AR20" s="1">
        <f t="shared" si="17"/>
        <v>30.806319751536765</v>
      </c>
      <c r="AS20" s="1">
        <f t="shared" si="17"/>
        <v>30.498256554021399</v>
      </c>
      <c r="AT20" s="1">
        <f t="shared" si="17"/>
        <v>30.193273988481184</v>
      </c>
      <c r="AU20" s="1">
        <f t="shared" si="17"/>
        <v>29.891341248596373</v>
      </c>
      <c r="AV20" s="1">
        <f t="shared" si="17"/>
        <v>29.59242783611041</v>
      </c>
      <c r="AW20" s="1">
        <f t="shared" si="17"/>
        <v>29.296503557749304</v>
      </c>
      <c r="AX20" s="1">
        <f t="shared" si="17"/>
        <v>29.003538522171812</v>
      </c>
      <c r="AY20" s="1">
        <f t="shared" si="17"/>
        <v>28.713503136950095</v>
      </c>
      <c r="AZ20" s="1">
        <f t="shared" si="17"/>
        <v>28.426368105580593</v>
      </c>
      <c r="BA20" s="1">
        <f t="shared" si="17"/>
        <v>28.142104424524788</v>
      </c>
      <c r="BB20" s="1">
        <f t="shared" si="17"/>
        <v>27.860683380279539</v>
      </c>
      <c r="BC20" s="1">
        <f t="shared" si="17"/>
        <v>27.582076546476742</v>
      </c>
      <c r="BD20" s="1">
        <f t="shared" si="17"/>
        <v>27.306255781011973</v>
      </c>
      <c r="BE20" s="1">
        <f t="shared" si="17"/>
        <v>27.033193223201852</v>
      </c>
      <c r="BF20" s="1">
        <f t="shared" si="17"/>
        <v>26.762861290969834</v>
      </c>
      <c r="BG20" s="1">
        <f t="shared" si="17"/>
        <v>26.495232678060134</v>
      </c>
      <c r="BH20" s="1">
        <f t="shared" si="17"/>
        <v>26.230280351279532</v>
      </c>
      <c r="BI20" s="1">
        <f t="shared" si="17"/>
        <v>25.967977547766736</v>
      </c>
      <c r="BJ20" s="1">
        <f t="shared" si="17"/>
        <v>25.708297772289068</v>
      </c>
      <c r="BK20" s="1">
        <f t="shared" si="17"/>
        <v>25.451214794566177</v>
      </c>
      <c r="BL20" s="1">
        <f t="shared" si="17"/>
        <v>25.196702646620516</v>
      </c>
      <c r="BM20" s="1">
        <f t="shared" si="17"/>
        <v>24.944735620154312</v>
      </c>
      <c r="BN20" s="1">
        <f t="shared" si="17"/>
        <v>24.695288263952769</v>
      </c>
      <c r="BO20" s="1">
        <f t="shared" si="17"/>
        <v>24.448335381313242</v>
      </c>
      <c r="BP20" s="1">
        <f t="shared" si="17"/>
        <v>24.203852027500108</v>
      </c>
      <c r="BQ20" s="1">
        <f t="shared" si="17"/>
        <v>23.961813507225106</v>
      </c>
      <c r="BR20" s="1">
        <f t="shared" si="17"/>
        <v>23.722195372152854</v>
      </c>
      <c r="BS20" s="1">
        <f t="shared" si="17"/>
        <v>23.484973418431323</v>
      </c>
      <c r="BT20" s="1">
        <f t="shared" si="17"/>
        <v>23.250123684247011</v>
      </c>
      <c r="BU20" s="1">
        <f t="shared" si="17"/>
        <v>23.017622447404541</v>
      </c>
      <c r="BV20" s="1">
        <f t="shared" si="17"/>
        <v>22.787446222930495</v>
      </c>
      <c r="BW20" s="1">
        <f t="shared" si="17"/>
        <v>22.559571760701189</v>
      </c>
      <c r="BX20" s="1">
        <f t="shared" si="17"/>
        <v>22.333976043094179</v>
      </c>
      <c r="BY20" s="1">
        <f t="shared" si="17"/>
        <v>22.110636282663236</v>
      </c>
      <c r="BZ20" s="1">
        <f t="shared" si="17"/>
        <v>21.889529919836605</v>
      </c>
      <c r="CA20" s="1">
        <f t="shared" si="17"/>
        <v>21.670634620638239</v>
      </c>
      <c r="CB20" s="1">
        <f t="shared" si="17"/>
        <v>21.453928274431856</v>
      </c>
      <c r="CC20" s="1">
        <f t="shared" si="17"/>
        <v>21.239388991687537</v>
      </c>
      <c r="CD20" s="1">
        <f t="shared" si="17"/>
        <v>21.026995101770662</v>
      </c>
      <c r="CE20" s="1">
        <f t="shared" si="17"/>
        <v>20.816725150752955</v>
      </c>
      <c r="CF20" s="1">
        <f t="shared" si="17"/>
        <v>20.608557899245426</v>
      </c>
      <c r="CG20" s="1">
        <f t="shared" si="17"/>
        <v>20.402472320252972</v>
      </c>
      <c r="CH20" s="1">
        <f t="shared" si="17"/>
        <v>20.198447597050443</v>
      </c>
      <c r="CI20" s="1">
        <f t="shared" si="17"/>
        <v>19.996463121079938</v>
      </c>
      <c r="CJ20" s="1">
        <f t="shared" si="17"/>
        <v>19.796498489869137</v>
      </c>
      <c r="CK20" s="1">
        <f t="shared" si="17"/>
        <v>19.598533504970444</v>
      </c>
      <c r="CL20" s="1">
        <f t="shared" si="17"/>
        <v>19.402548169920738</v>
      </c>
      <c r="CM20" s="1">
        <f t="shared" si="17"/>
        <v>19.208522688221532</v>
      </c>
      <c r="CN20" s="1">
        <f t="shared" si="17"/>
        <v>19.016437461339315</v>
      </c>
      <c r="CO20" s="1">
        <f t="shared" si="17"/>
        <v>18.826273086725923</v>
      </c>
      <c r="CP20" s="1">
        <f t="shared" ref="CP20:EK20" si="18">CO20*(1+$AF$26)</f>
        <v>18.638010355858665</v>
      </c>
      <c r="CQ20" s="1">
        <f t="shared" si="18"/>
        <v>18.451630252300077</v>
      </c>
      <c r="CR20" s="1">
        <f t="shared" si="18"/>
        <v>18.267113949777077</v>
      </c>
      <c r="CS20" s="1">
        <f t="shared" si="18"/>
        <v>18.084442810279306</v>
      </c>
      <c r="CT20" s="1">
        <f t="shared" si="18"/>
        <v>17.903598382176511</v>
      </c>
      <c r="CU20" s="1">
        <f t="shared" si="18"/>
        <v>17.724562398354745</v>
      </c>
      <c r="CV20" s="1">
        <f t="shared" si="18"/>
        <v>17.547316774371197</v>
      </c>
      <c r="CW20" s="1">
        <f t="shared" si="18"/>
        <v>17.371843606627486</v>
      </c>
      <c r="CX20" s="1">
        <f t="shared" si="18"/>
        <v>17.198125170561212</v>
      </c>
      <c r="CY20" s="1">
        <f t="shared" si="18"/>
        <v>17.026143918855599</v>
      </c>
      <c r="CZ20" s="1">
        <f t="shared" si="18"/>
        <v>16.855882479667041</v>
      </c>
      <c r="DA20" s="1">
        <f t="shared" si="18"/>
        <v>16.687323654870372</v>
      </c>
      <c r="DB20" s="1">
        <f t="shared" si="18"/>
        <v>16.520450418321669</v>
      </c>
      <c r="DC20" s="1">
        <f t="shared" si="18"/>
        <v>16.355245914138454</v>
      </c>
      <c r="DD20" s="1">
        <f t="shared" si="18"/>
        <v>16.191693454997068</v>
      </c>
      <c r="DE20" s="1">
        <f t="shared" si="18"/>
        <v>16.029776520447097</v>
      </c>
      <c r="DF20" s="1">
        <f t="shared" si="18"/>
        <v>15.869478755242627</v>
      </c>
      <c r="DG20" s="1">
        <f t="shared" si="18"/>
        <v>15.710783967690201</v>
      </c>
      <c r="DH20" s="1">
        <f t="shared" si="18"/>
        <v>15.553676128013299</v>
      </c>
      <c r="DI20" s="1">
        <f t="shared" si="18"/>
        <v>15.398139366733165</v>
      </c>
      <c r="DJ20" s="1">
        <f t="shared" si="18"/>
        <v>15.244157973065834</v>
      </c>
      <c r="DK20" s="1">
        <f t="shared" si="18"/>
        <v>15.091716393335176</v>
      </c>
      <c r="DL20" s="1">
        <f t="shared" si="18"/>
        <v>14.940799229401824</v>
      </c>
      <c r="DM20" s="1">
        <f t="shared" si="18"/>
        <v>14.791391237107806</v>
      </c>
      <c r="DN20" s="1">
        <f t="shared" si="18"/>
        <v>14.643477324736729</v>
      </c>
      <c r="DO20" s="1">
        <f t="shared" si="18"/>
        <v>14.497042551489361</v>
      </c>
      <c r="DP20" s="1">
        <f t="shared" si="18"/>
        <v>14.352072125974468</v>
      </c>
      <c r="DQ20" s="1">
        <f t="shared" si="18"/>
        <v>14.208551404714724</v>
      </c>
      <c r="DR20" s="1">
        <f t="shared" si="18"/>
        <v>14.066465890667576</v>
      </c>
      <c r="DS20" s="1">
        <f t="shared" si="18"/>
        <v>13.9258012317609</v>
      </c>
      <c r="DT20" s="1">
        <f t="shared" si="18"/>
        <v>13.78654321944329</v>
      </c>
      <c r="DU20" s="1">
        <f t="shared" si="18"/>
        <v>13.648677787248857</v>
      </c>
      <c r="DV20" s="1">
        <f t="shared" si="18"/>
        <v>13.51219100937637</v>
      </c>
      <c r="DW20" s="1">
        <f t="shared" si="18"/>
        <v>13.377069099282606</v>
      </c>
      <c r="DX20" s="1">
        <f t="shared" si="18"/>
        <v>13.24329840828978</v>
      </c>
      <c r="DY20" s="1">
        <f t="shared" si="18"/>
        <v>13.110865424206882</v>
      </c>
      <c r="DZ20" s="1">
        <f t="shared" si="18"/>
        <v>12.979756769964812</v>
      </c>
      <c r="EA20" s="1">
        <f t="shared" si="18"/>
        <v>12.849959202265163</v>
      </c>
      <c r="EB20" s="1">
        <f t="shared" si="18"/>
        <v>12.721459610242512</v>
      </c>
      <c r="EC20" s="1">
        <f t="shared" si="18"/>
        <v>12.594245014140087</v>
      </c>
      <c r="ED20" s="1">
        <f t="shared" si="18"/>
        <v>12.468302563998686</v>
      </c>
      <c r="EE20" s="1">
        <f t="shared" si="18"/>
        <v>12.343619538358698</v>
      </c>
      <c r="EF20" s="1">
        <f t="shared" si="18"/>
        <v>12.220183342975112</v>
      </c>
      <c r="EG20" s="1">
        <f t="shared" si="18"/>
        <v>12.097981509545361</v>
      </c>
      <c r="EH20" s="1">
        <f t="shared" si="18"/>
        <v>11.977001694449907</v>
      </c>
      <c r="EI20" s="1">
        <f t="shared" si="18"/>
        <v>11.857231677505407</v>
      </c>
      <c r="EJ20" s="1">
        <f t="shared" si="18"/>
        <v>11.738659360730352</v>
      </c>
      <c r="EK20" s="1">
        <f t="shared" si="18"/>
        <v>11.621272767123049</v>
      </c>
    </row>
    <row r="21" spans="2:141" x14ac:dyDescent="0.3">
      <c r="B21" t="s">
        <v>2</v>
      </c>
      <c r="C21" s="2">
        <v>3.4</v>
      </c>
      <c r="D21" s="2">
        <v>3.4</v>
      </c>
      <c r="E21" s="2">
        <v>3.2</v>
      </c>
      <c r="G21" s="2">
        <v>6.1</v>
      </c>
      <c r="H21" s="2">
        <v>6.2</v>
      </c>
      <c r="I21" s="2">
        <v>8.3000000000000007</v>
      </c>
      <c r="J21" s="2">
        <v>8.3000000000000007</v>
      </c>
      <c r="K21" s="2">
        <v>8.3000000000000007</v>
      </c>
      <c r="L21" s="2">
        <v>8.3000000000000007</v>
      </c>
      <c r="M21" s="2">
        <v>8.3000000000000007</v>
      </c>
      <c r="N21" s="2">
        <v>8.3000000000000007</v>
      </c>
      <c r="P21" s="2">
        <v>3.2</v>
      </c>
      <c r="Q21" s="2">
        <v>8.3000000000000007</v>
      </c>
      <c r="R21" s="2">
        <v>8.3000000000000007</v>
      </c>
      <c r="S21" s="2">
        <v>8.3000000000000007</v>
      </c>
      <c r="T21" s="2">
        <v>8.3000000000000007</v>
      </c>
      <c r="U21" s="2">
        <v>8.3000000000000007</v>
      </c>
      <c r="V21" s="2">
        <v>8.3000000000000007</v>
      </c>
      <c r="W21" s="2">
        <v>8.3000000000000007</v>
      </c>
      <c r="X21" s="2">
        <v>8.3000000000000007</v>
      </c>
      <c r="Y21" s="2">
        <v>8.3000000000000007</v>
      </c>
      <c r="Z21" s="2">
        <v>8.3000000000000007</v>
      </c>
      <c r="AA21" s="2">
        <v>8.3000000000000007</v>
      </c>
      <c r="AB21" s="2">
        <v>8.3000000000000007</v>
      </c>
    </row>
    <row r="22" spans="2:141" x14ac:dyDescent="0.3">
      <c r="B22" t="s">
        <v>30</v>
      </c>
      <c r="C22" s="7">
        <f>C20/C21</f>
        <v>-0.17647058823529413</v>
      </c>
      <c r="D22" s="7">
        <f>D20/D21</f>
        <v>-0.11764705882352942</v>
      </c>
      <c r="E22" s="7">
        <f>E20/E21</f>
        <v>-0.125</v>
      </c>
      <c r="G22" s="7">
        <f>G20/G21</f>
        <v>-0.18032786885245905</v>
      </c>
      <c r="H22" s="7">
        <f>H20/H21</f>
        <v>-0.24193548387096778</v>
      </c>
      <c r="I22" s="7">
        <f>I20/I21</f>
        <v>-0.26506024096385544</v>
      </c>
      <c r="J22" s="11">
        <f>J20/J21</f>
        <v>-0.19277108433734938</v>
      </c>
      <c r="K22" s="11">
        <f t="shared" ref="K22:N22" si="19">K20/K21</f>
        <v>-0.16506024096385538</v>
      </c>
      <c r="L22" s="11">
        <f t="shared" si="19"/>
        <v>-0.21927710843373491</v>
      </c>
      <c r="M22" s="11">
        <f t="shared" si="19"/>
        <v>-0.24337349397590355</v>
      </c>
      <c r="N22" s="11">
        <f t="shared" si="19"/>
        <v>-0.27228915662650599</v>
      </c>
      <c r="P22" s="7">
        <f>P20/P21</f>
        <v>-0.43749999999999994</v>
      </c>
      <c r="Q22" s="7">
        <f>Q20/Q21</f>
        <v>-0.77108433734939741</v>
      </c>
      <c r="R22" s="7">
        <f>R20/R21</f>
        <v>-0.8999999999999998</v>
      </c>
      <c r="S22" s="7">
        <f>S20/S21</f>
        <v>-1.1513108433734938</v>
      </c>
      <c r="T22" s="7">
        <f t="shared" ref="T22:AB22" si="20">T20/T21</f>
        <v>-1.3204298795180722</v>
      </c>
      <c r="U22" s="7">
        <f t="shared" si="20"/>
        <v>-1.3683883373493975</v>
      </c>
      <c r="V22" s="7">
        <f t="shared" si="20"/>
        <v>-0.8563847710843373</v>
      </c>
      <c r="W22" s="7">
        <f t="shared" si="20"/>
        <v>-0.25409395662650558</v>
      </c>
      <c r="X22" s="7">
        <f t="shared" si="20"/>
        <v>0.3771564260240971</v>
      </c>
      <c r="Y22" s="7">
        <f t="shared" si="20"/>
        <v>1.0002373567228917</v>
      </c>
      <c r="Z22" s="7">
        <f t="shared" si="20"/>
        <v>1.8319677025156633</v>
      </c>
      <c r="AA22" s="7">
        <f t="shared" si="20"/>
        <v>2.9283343221975913</v>
      </c>
      <c r="AB22" s="7">
        <f t="shared" si="20"/>
        <v>4.3591178744767207</v>
      </c>
    </row>
    <row r="24" spans="2:141" x14ac:dyDescent="0.3">
      <c r="B24" t="s">
        <v>43</v>
      </c>
      <c r="G24" s="9"/>
      <c r="H24" s="9">
        <f t="shared" ref="H24:I24" si="21">H3/G3-1</f>
        <v>1.3333333333333335</v>
      </c>
      <c r="I24" s="9">
        <f t="shared" si="21"/>
        <v>7.1428571428571397E-2</v>
      </c>
      <c r="J24" s="9">
        <f>J3/I3-1</f>
        <v>0.33333333333333326</v>
      </c>
      <c r="K24" s="9">
        <f t="shared" ref="K24:N24" si="22">K3/J3-1</f>
        <v>-0.25</v>
      </c>
      <c r="L24" s="9">
        <f t="shared" si="22"/>
        <v>0.77333333333333321</v>
      </c>
      <c r="M24" s="9">
        <f t="shared" si="22"/>
        <v>0.1278195488721805</v>
      </c>
      <c r="N24" s="9">
        <f t="shared" si="22"/>
        <v>0.33333333333333326</v>
      </c>
      <c r="R24" s="9">
        <f>R3/Q3-1</f>
        <v>1.0290909090909093</v>
      </c>
      <c r="S24" s="9">
        <f t="shared" ref="S24:AB24" si="23">S3/R3-1</f>
        <v>0.90000000000000013</v>
      </c>
      <c r="T24" s="9">
        <f t="shared" si="23"/>
        <v>0.8</v>
      </c>
      <c r="U24" s="9">
        <f t="shared" si="23"/>
        <v>0.70000000000000018</v>
      </c>
      <c r="V24" s="9">
        <f t="shared" si="23"/>
        <v>0.60000000000000009</v>
      </c>
      <c r="W24" s="9">
        <f t="shared" si="23"/>
        <v>0.5</v>
      </c>
      <c r="X24" s="9">
        <f t="shared" si="23"/>
        <v>0.30000000000000004</v>
      </c>
      <c r="Y24" s="9">
        <f t="shared" si="23"/>
        <v>0.19999999999999996</v>
      </c>
      <c r="Z24" s="9">
        <f t="shared" si="23"/>
        <v>0.19999999999999996</v>
      </c>
      <c r="AA24" s="9">
        <f t="shared" si="23"/>
        <v>0.19999999999999996</v>
      </c>
      <c r="AB24" s="9">
        <f t="shared" si="23"/>
        <v>0.19999999999999996</v>
      </c>
    </row>
    <row r="25" spans="2:141" x14ac:dyDescent="0.3">
      <c r="B25" t="s">
        <v>38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2:141" x14ac:dyDescent="0.3">
      <c r="B26" t="s">
        <v>39</v>
      </c>
      <c r="G26" s="9">
        <f t="shared" ref="G26:I26" si="24">G5/G3</f>
        <v>0.33333333333333326</v>
      </c>
      <c r="H26" s="9">
        <f t="shared" si="24"/>
        <v>0.28571428571428564</v>
      </c>
      <c r="I26" s="9">
        <f>I5/I3</f>
        <v>0.26666666666666661</v>
      </c>
      <c r="J26" s="9">
        <f>J5/J3</f>
        <v>0.25</v>
      </c>
      <c r="K26" s="9">
        <f t="shared" ref="K26:N26" si="25">K5/K3</f>
        <v>0.32</v>
      </c>
      <c r="L26" s="9">
        <f t="shared" si="25"/>
        <v>0.3</v>
      </c>
      <c r="M26" s="9">
        <f t="shared" si="25"/>
        <v>0.28000000000000003</v>
      </c>
      <c r="N26" s="9">
        <f t="shared" si="25"/>
        <v>0.26</v>
      </c>
      <c r="Q26" s="9">
        <f t="shared" ref="Q26:R26" si="26">Q5/Q3</f>
        <v>0.27272727272727271</v>
      </c>
      <c r="R26" s="9">
        <f t="shared" si="26"/>
        <v>0.28297491039426537</v>
      </c>
      <c r="S26" s="9">
        <f t="shared" ref="S26:AB26" si="27">S5/S3</f>
        <v>0.3</v>
      </c>
      <c r="T26" s="9">
        <f t="shared" si="27"/>
        <v>0.3</v>
      </c>
      <c r="U26" s="9">
        <f t="shared" si="27"/>
        <v>0.3</v>
      </c>
      <c r="V26" s="9">
        <f t="shared" si="27"/>
        <v>0.3</v>
      </c>
      <c r="W26" s="9">
        <f t="shared" si="27"/>
        <v>0.3</v>
      </c>
      <c r="X26" s="9">
        <f t="shared" si="27"/>
        <v>0.3</v>
      </c>
      <c r="Y26" s="9">
        <f t="shared" si="27"/>
        <v>0.3</v>
      </c>
      <c r="Z26" s="9">
        <f t="shared" si="27"/>
        <v>0.3</v>
      </c>
      <c r="AA26" s="9">
        <f t="shared" si="27"/>
        <v>0.3</v>
      </c>
      <c r="AB26" s="9">
        <f t="shared" si="27"/>
        <v>0.3</v>
      </c>
      <c r="AE26" t="s">
        <v>48</v>
      </c>
      <c r="AF26" s="9">
        <v>-0.01</v>
      </c>
    </row>
    <row r="27" spans="2:141" x14ac:dyDescent="0.3">
      <c r="B27" t="s">
        <v>41</v>
      </c>
      <c r="G27" s="9"/>
      <c r="H27" s="9"/>
      <c r="I27" s="9"/>
      <c r="J27" s="9"/>
      <c r="K27" s="9"/>
      <c r="L27" s="9"/>
      <c r="M27" s="9"/>
      <c r="N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E27" t="s">
        <v>49</v>
      </c>
      <c r="AF27" s="9">
        <v>0.13</v>
      </c>
    </row>
    <row r="28" spans="2:141" x14ac:dyDescent="0.3">
      <c r="B28" t="s">
        <v>42</v>
      </c>
      <c r="G28" s="9">
        <f>G8/G3</f>
        <v>0.33333333333333337</v>
      </c>
      <c r="H28" s="9">
        <f t="shared" ref="H28:J28" si="28">H8/H3</f>
        <v>0.28571428571428575</v>
      </c>
      <c r="I28" s="9">
        <f t="shared" si="28"/>
        <v>0.19999999999999998</v>
      </c>
      <c r="J28" s="9">
        <f t="shared" si="28"/>
        <v>0.2</v>
      </c>
      <c r="K28" s="9">
        <f t="shared" ref="K28:N28" si="29">K8/K3</f>
        <v>0.3</v>
      </c>
      <c r="L28" s="9">
        <f t="shared" si="29"/>
        <v>0.3</v>
      </c>
      <c r="M28" s="9">
        <f t="shared" si="29"/>
        <v>0.3</v>
      </c>
      <c r="N28" s="9">
        <f t="shared" si="29"/>
        <v>0.3</v>
      </c>
      <c r="Q28" s="9">
        <f t="shared" ref="Q28:R28" si="30">Q8/Q3</f>
        <v>0.23636363636363641</v>
      </c>
      <c r="R28" s="9">
        <f t="shared" si="30"/>
        <v>0.3</v>
      </c>
      <c r="S28" s="9">
        <f t="shared" ref="S28:AB28" si="31">S8/S3</f>
        <v>0.27</v>
      </c>
      <c r="T28" s="9">
        <f t="shared" si="31"/>
        <v>0.24</v>
      </c>
      <c r="U28" s="9">
        <f t="shared" si="31"/>
        <v>0.23</v>
      </c>
      <c r="V28" s="9">
        <f t="shared" si="31"/>
        <v>0.2</v>
      </c>
      <c r="W28" s="9">
        <f t="shared" si="31"/>
        <v>0.19</v>
      </c>
      <c r="X28" s="9">
        <f t="shared" si="31"/>
        <v>0.18</v>
      </c>
      <c r="Y28" s="9">
        <f t="shared" si="31"/>
        <v>0.17</v>
      </c>
      <c r="Z28" s="9">
        <f t="shared" si="31"/>
        <v>0.16</v>
      </c>
      <c r="AA28" s="9">
        <f t="shared" si="31"/>
        <v>0.15</v>
      </c>
      <c r="AB28" s="9">
        <f t="shared" si="31"/>
        <v>0.14000000000000001</v>
      </c>
      <c r="AE28" t="s">
        <v>50</v>
      </c>
      <c r="AF28" s="2">
        <f>NPV(AF27,Q20:EK20)</f>
        <v>46.796468807887784</v>
      </c>
    </row>
    <row r="29" spans="2:141" x14ac:dyDescent="0.3">
      <c r="B29" t="s">
        <v>40</v>
      </c>
      <c r="G29" s="9">
        <f t="shared" ref="G29:H29" si="32">G9/C9-1</f>
        <v>0.66666666666666674</v>
      </c>
      <c r="H29" s="9">
        <f t="shared" si="32"/>
        <v>2.25</v>
      </c>
      <c r="I29" s="9">
        <f>I9/E9-1</f>
        <v>2.4999999999999996</v>
      </c>
      <c r="J29" s="9" t="e">
        <f>J9/F9-1</f>
        <v>#DIV/0!</v>
      </c>
      <c r="K29" s="9">
        <f t="shared" ref="K29:N29" si="33">K9/G9-1</f>
        <v>0.39999999999999991</v>
      </c>
      <c r="L29" s="9">
        <f t="shared" si="33"/>
        <v>0.39999999999999991</v>
      </c>
      <c r="M29" s="9">
        <f t="shared" si="33"/>
        <v>0.39999999999999991</v>
      </c>
      <c r="N29" s="9">
        <f t="shared" si="33"/>
        <v>0.39999999999999969</v>
      </c>
      <c r="Q29" s="9">
        <f>Q9/P9-1</f>
        <v>2.714285714285714</v>
      </c>
      <c r="R29" s="9">
        <f t="shared" ref="R29:AB29" si="34">R9/Q9-1</f>
        <v>0.40000000000000013</v>
      </c>
      <c r="S29" s="9">
        <f t="shared" si="34"/>
        <v>0.39999999999999991</v>
      </c>
      <c r="T29" s="9">
        <f t="shared" si="34"/>
        <v>0.30000000000000004</v>
      </c>
      <c r="U29" s="9">
        <f t="shared" si="34"/>
        <v>0.19999999999999996</v>
      </c>
      <c r="V29" s="9">
        <f t="shared" si="34"/>
        <v>0.10000000000000009</v>
      </c>
      <c r="W29" s="9">
        <f t="shared" si="34"/>
        <v>0.10000000000000009</v>
      </c>
      <c r="X29" s="9">
        <f t="shared" si="34"/>
        <v>0.10000000000000009</v>
      </c>
      <c r="Y29" s="9">
        <f t="shared" si="34"/>
        <v>0.10000000000000009</v>
      </c>
      <c r="Z29" s="9">
        <f t="shared" si="34"/>
        <v>0.10000000000000009</v>
      </c>
      <c r="AA29" s="9">
        <f t="shared" si="34"/>
        <v>0.10000000000000009</v>
      </c>
      <c r="AB29" s="9">
        <f t="shared" si="34"/>
        <v>0.10000000000000009</v>
      </c>
      <c r="AE29" t="s">
        <v>51</v>
      </c>
      <c r="AF29" s="2">
        <f>Main!D8</f>
        <v>-1.3</v>
      </c>
    </row>
    <row r="30" spans="2:141" x14ac:dyDescent="0.3">
      <c r="B30" t="s">
        <v>58</v>
      </c>
      <c r="G30" s="9">
        <f>G12/G3</f>
        <v>-1.8333333333333335</v>
      </c>
      <c r="H30" s="9">
        <f t="shared" ref="H30:N30" si="35">H12/H3</f>
        <v>-1.0714285714285716</v>
      </c>
      <c r="I30" s="9">
        <f t="shared" si="35"/>
        <v>-1</v>
      </c>
      <c r="J30" s="9">
        <f t="shared" si="35"/>
        <v>-0.8</v>
      </c>
      <c r="K30" s="9">
        <f t="shared" si="35"/>
        <v>-0.91333333333333322</v>
      </c>
      <c r="L30" s="9">
        <f t="shared" si="35"/>
        <v>-0.68421052631578949</v>
      </c>
      <c r="M30" s="9">
        <f t="shared" si="35"/>
        <v>-0.67333333333333323</v>
      </c>
      <c r="N30" s="9">
        <f t="shared" si="35"/>
        <v>-0.56499999999999995</v>
      </c>
      <c r="Q30" s="9">
        <f t="shared" ref="Q30:AB30" si="36">Q12/Q3</f>
        <v>-1.0363636363636362</v>
      </c>
      <c r="R30" s="9">
        <f t="shared" si="36"/>
        <v>-0.66935483870967727</v>
      </c>
      <c r="S30" s="9">
        <f t="shared" si="36"/>
        <v>-0.45066402565553659</v>
      </c>
      <c r="T30" s="9">
        <f t="shared" si="36"/>
        <v>-0.28714624075122097</v>
      </c>
      <c r="U30" s="9">
        <f t="shared" si="36"/>
        <v>-0.17504440523615594</v>
      </c>
      <c r="V30" s="9">
        <f t="shared" si="36"/>
        <v>-6.846802859985722E-2</v>
      </c>
      <c r="W30" s="9">
        <f t="shared" si="36"/>
        <v>-1.3543220973228605E-2</v>
      </c>
      <c r="X30" s="9">
        <f t="shared" si="36"/>
        <v>1.5463428407268109E-2</v>
      </c>
      <c r="Y30" s="9">
        <f t="shared" si="36"/>
        <v>3.4174809373329076E-2</v>
      </c>
      <c r="Z30" s="9">
        <f t="shared" si="36"/>
        <v>5.2160241925551666E-2</v>
      </c>
      <c r="AA30" s="9">
        <f t="shared" si="36"/>
        <v>6.9480221765089029E-2</v>
      </c>
      <c r="AB30" s="9">
        <f t="shared" si="36"/>
        <v>8.6190203284664868E-2</v>
      </c>
      <c r="AE30" t="s">
        <v>52</v>
      </c>
      <c r="AF30" s="2">
        <f>AF28+AF29</f>
        <v>45.496468807887787</v>
      </c>
    </row>
    <row r="31" spans="2:141" x14ac:dyDescent="0.3">
      <c r="AE31" t="s">
        <v>53</v>
      </c>
      <c r="AF31" s="3">
        <f>AF30/AB21</f>
        <v>5.4815022660105761</v>
      </c>
    </row>
    <row r="32" spans="2:141" x14ac:dyDescent="0.3">
      <c r="AE32" t="s">
        <v>54</v>
      </c>
      <c r="AF32" s="3">
        <f>Main!D3</f>
        <v>7.21</v>
      </c>
    </row>
    <row r="33" spans="31:32" x14ac:dyDescent="0.3">
      <c r="AE33" s="1" t="s">
        <v>55</v>
      </c>
      <c r="AF33" s="12">
        <f>AF31/AF32-1</f>
        <v>-0.23973616282793675</v>
      </c>
    </row>
    <row r="34" spans="31:32" x14ac:dyDescent="0.3">
      <c r="AE34" t="s">
        <v>56</v>
      </c>
      <c r="AF34" s="6" t="s">
        <v>57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2025-03-20T09:05:51Z</dcterms:created>
  <dcterms:modified xsi:type="dcterms:W3CDTF">2025-03-20T11:23:13Z</dcterms:modified>
</cp:coreProperties>
</file>