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22FE8693-1975-47BA-87F2-4315DD4AF9DE}" xr6:coauthVersionLast="47" xr6:coauthVersionMax="47" xr10:uidLastSave="{00000000-0000-0000-0000-000000000000}"/>
  <bookViews>
    <workbookView xWindow="-108" yWindow="-108" windowWidth="23256" windowHeight="12576" activeTab="1" xr2:uid="{57F59096-E0A1-4DE7-86DD-5720167201A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24" i="2" l="1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AJ3" i="2"/>
  <c r="AJ5" i="2" s="1"/>
  <c r="AI5" i="2"/>
  <c r="AI14" i="2"/>
  <c r="AI13" i="2"/>
  <c r="AI11" i="2"/>
  <c r="AI10" i="2"/>
  <c r="AI9" i="2"/>
  <c r="AI7" i="2"/>
  <c r="AI6" i="2"/>
  <c r="AI4" i="2"/>
  <c r="AI3" i="2"/>
  <c r="Z15" i="2"/>
  <c r="Z17" i="2" s="1"/>
  <c r="Z13" i="2"/>
  <c r="Z12" i="2"/>
  <c r="Z8" i="2"/>
  <c r="Z6" i="2"/>
  <c r="Z22" i="2"/>
  <c r="Z5" i="2"/>
  <c r="Z4" i="2" s="1"/>
  <c r="Z3" i="2"/>
  <c r="V14" i="2"/>
  <c r="V13" i="2"/>
  <c r="V11" i="2"/>
  <c r="V10" i="2"/>
  <c r="V9" i="2"/>
  <c r="V7" i="2"/>
  <c r="V6" i="2"/>
  <c r="V22" i="2" s="1"/>
  <c r="V4" i="2"/>
  <c r="V3" i="2"/>
  <c r="J5" i="2"/>
  <c r="AF10" i="2"/>
  <c r="AF8" i="2"/>
  <c r="AG8" i="2"/>
  <c r="AG5" i="2"/>
  <c r="AC5" i="2"/>
  <c r="AH8" i="2"/>
  <c r="Y23" i="2"/>
  <c r="X23" i="2"/>
  <c r="W23" i="2"/>
  <c r="U23" i="2"/>
  <c r="T23" i="2"/>
  <c r="S23" i="2"/>
  <c r="R23" i="2"/>
  <c r="Q23" i="2"/>
  <c r="P23" i="2"/>
  <c r="O23" i="2"/>
  <c r="Y22" i="2"/>
  <c r="X22" i="2"/>
  <c r="W22" i="2"/>
  <c r="U22" i="2"/>
  <c r="T22" i="2"/>
  <c r="S22" i="2"/>
  <c r="Q22" i="2"/>
  <c r="P22" i="2"/>
  <c r="O22" i="2"/>
  <c r="Y21" i="2"/>
  <c r="X21" i="2"/>
  <c r="W21" i="2"/>
  <c r="U21" i="2"/>
  <c r="T21" i="2"/>
  <c r="S21" i="2"/>
  <c r="R21" i="2"/>
  <c r="Q21" i="2"/>
  <c r="P21" i="2"/>
  <c r="O21" i="2"/>
  <c r="Y20" i="2"/>
  <c r="X20" i="2"/>
  <c r="W20" i="2"/>
  <c r="U20" i="2"/>
  <c r="T20" i="2"/>
  <c r="S20" i="2"/>
  <c r="R20" i="2"/>
  <c r="Q20" i="2"/>
  <c r="P20" i="2"/>
  <c r="O20" i="2"/>
  <c r="Y19" i="2"/>
  <c r="X19" i="2"/>
  <c r="W19" i="2"/>
  <c r="U19" i="2"/>
  <c r="T19" i="2"/>
  <c r="S19" i="2"/>
  <c r="Q19" i="2"/>
  <c r="P19" i="2"/>
  <c r="O19" i="2"/>
  <c r="AH5" i="2"/>
  <c r="S5" i="2"/>
  <c r="S8" i="2" s="1"/>
  <c r="S12" i="2" s="1"/>
  <c r="S15" i="2" s="1"/>
  <c r="S17" i="2" s="1"/>
  <c r="W5" i="2"/>
  <c r="W8" i="2" s="1"/>
  <c r="W12" i="2" s="1"/>
  <c r="W15" i="2" s="1"/>
  <c r="W17" i="2" s="1"/>
  <c r="T5" i="2"/>
  <c r="T8" i="2" s="1"/>
  <c r="T12" i="2" s="1"/>
  <c r="T15" i="2" s="1"/>
  <c r="T17" i="2" s="1"/>
  <c r="X5" i="2"/>
  <c r="X8" i="2" s="1"/>
  <c r="X12" i="2" s="1"/>
  <c r="X15" i="2" s="1"/>
  <c r="X17" i="2" s="1"/>
  <c r="Y8" i="2"/>
  <c r="U8" i="2"/>
  <c r="U5" i="2"/>
  <c r="U12" i="2" s="1"/>
  <c r="U15" i="2" s="1"/>
  <c r="U17" i="2" s="1"/>
  <c r="Y5" i="2"/>
  <c r="D7" i="1"/>
  <c r="D6" i="1"/>
  <c r="D4" i="1"/>
  <c r="Z23" i="2" l="1"/>
  <c r="Z21" i="2"/>
  <c r="Z20" i="2"/>
  <c r="V5" i="2"/>
  <c r="V8" i="2" s="1"/>
  <c r="V12" i="2" s="1"/>
  <c r="V19" i="2"/>
  <c r="Z19" i="2"/>
  <c r="Y12" i="2"/>
  <c r="Y15" i="2" s="1"/>
  <c r="Y17" i="2" s="1"/>
  <c r="AW27" i="2"/>
  <c r="M19" i="2"/>
  <c r="M22" i="2"/>
  <c r="L22" i="2"/>
  <c r="AE3" i="2"/>
  <c r="L19" i="2"/>
  <c r="AD19" i="2"/>
  <c r="AE11" i="2"/>
  <c r="AE10" i="2"/>
  <c r="AE9" i="2"/>
  <c r="I22" i="2"/>
  <c r="H22" i="2"/>
  <c r="G22" i="2"/>
  <c r="I19" i="2"/>
  <c r="H19" i="2"/>
  <c r="G19" i="2"/>
  <c r="AC8" i="2"/>
  <c r="AC12" i="2" s="1"/>
  <c r="AC15" i="2" s="1"/>
  <c r="AC17" i="2" s="1"/>
  <c r="F10" i="2"/>
  <c r="F9" i="2"/>
  <c r="AD11" i="2"/>
  <c r="F11" i="2" s="1"/>
  <c r="AD6" i="2"/>
  <c r="AD22" i="2" s="1"/>
  <c r="AD5" i="2"/>
  <c r="F6" i="2"/>
  <c r="F5" i="2"/>
  <c r="F20" i="2" s="1"/>
  <c r="C5" i="2"/>
  <c r="C8" i="2" s="1"/>
  <c r="C12" i="2" s="1"/>
  <c r="C15" i="2" s="1"/>
  <c r="C17" i="2" s="1"/>
  <c r="G5" i="2"/>
  <c r="G8" i="2" s="1"/>
  <c r="G12" i="2" s="1"/>
  <c r="G15" i="2" s="1"/>
  <c r="G17" i="2" s="1"/>
  <c r="D5" i="2"/>
  <c r="D8" i="2" s="1"/>
  <c r="D12" i="2" s="1"/>
  <c r="D15" i="2" s="1"/>
  <c r="D17" i="2" s="1"/>
  <c r="H5" i="2"/>
  <c r="H8" i="2" s="1"/>
  <c r="H12" i="2" s="1"/>
  <c r="H15" i="2" s="1"/>
  <c r="H17" i="2" s="1"/>
  <c r="E5" i="2"/>
  <c r="E8" i="2" s="1"/>
  <c r="E12" i="2" s="1"/>
  <c r="E15" i="2" s="1"/>
  <c r="E17" i="2" s="1"/>
  <c r="I5" i="2"/>
  <c r="I8" i="2" s="1"/>
  <c r="I12" i="2" s="1"/>
  <c r="I15" i="2" s="1"/>
  <c r="I17" i="2" s="1"/>
  <c r="D8" i="1"/>
  <c r="D5" i="1"/>
  <c r="F3" i="1"/>
  <c r="V20" i="2" l="1"/>
  <c r="V21" i="2"/>
  <c r="V23" i="2"/>
  <c r="V15" i="2"/>
  <c r="V17" i="2" s="1"/>
  <c r="AE4" i="2"/>
  <c r="AE5" i="2" s="1"/>
  <c r="AE14" i="2"/>
  <c r="AC21" i="2"/>
  <c r="R19" i="2"/>
  <c r="C23" i="2"/>
  <c r="AD8" i="2"/>
  <c r="AD21" i="2" s="1"/>
  <c r="D20" i="2"/>
  <c r="L20" i="2"/>
  <c r="K19" i="2"/>
  <c r="G20" i="2"/>
  <c r="D23" i="2"/>
  <c r="AJ10" i="2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H20" i="2"/>
  <c r="H23" i="2"/>
  <c r="E21" i="2"/>
  <c r="H21" i="2"/>
  <c r="D9" i="1"/>
  <c r="K20" i="2"/>
  <c r="J22" i="2"/>
  <c r="AW24" i="2"/>
  <c r="I21" i="2"/>
  <c r="I20" i="2"/>
  <c r="C20" i="2"/>
  <c r="I23" i="2"/>
  <c r="AC20" i="2"/>
  <c r="G23" i="2"/>
  <c r="C21" i="2"/>
  <c r="D21" i="2"/>
  <c r="AD20" i="2"/>
  <c r="E20" i="2"/>
  <c r="G21" i="2"/>
  <c r="E23" i="2"/>
  <c r="AC23" i="2"/>
  <c r="K22" i="2"/>
  <c r="AE6" i="2"/>
  <c r="AE19" i="2"/>
  <c r="J19" i="2"/>
  <c r="F8" i="2"/>
  <c r="N22" i="2" l="1"/>
  <c r="R22" i="2"/>
  <c r="J8" i="2"/>
  <c r="J21" i="2" s="1"/>
  <c r="J20" i="2"/>
  <c r="L23" i="2"/>
  <c r="N19" i="2"/>
  <c r="AD12" i="2"/>
  <c r="AJ6" i="2"/>
  <c r="AK6" i="2" s="1"/>
  <c r="AJ14" i="2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K21" i="2"/>
  <c r="F12" i="2"/>
  <c r="F21" i="2"/>
  <c r="AF19" i="2"/>
  <c r="M20" i="2"/>
  <c r="AE22" i="2"/>
  <c r="AE8" i="2"/>
  <c r="AE20" i="2"/>
  <c r="J12" i="2" l="1"/>
  <c r="AE13" i="2" s="1"/>
  <c r="AG22" i="2"/>
  <c r="L21" i="2"/>
  <c r="AF22" i="2"/>
  <c r="AI22" i="2"/>
  <c r="N20" i="2"/>
  <c r="AF5" i="2"/>
  <c r="AF12" i="2" s="1"/>
  <c r="AD15" i="2"/>
  <c r="AD17" i="2" s="1"/>
  <c r="AD23" i="2"/>
  <c r="AH22" i="2"/>
  <c r="F15" i="2"/>
  <c r="F17" i="2" s="1"/>
  <c r="F23" i="2"/>
  <c r="AG19" i="2"/>
  <c r="K23" i="2"/>
  <c r="AL6" i="2"/>
  <c r="AJ22" i="2"/>
  <c r="M21" i="2"/>
  <c r="AE12" i="2"/>
  <c r="AE21" i="2"/>
  <c r="N21" i="2" l="1"/>
  <c r="AF21" i="2"/>
  <c r="AF20" i="2"/>
  <c r="J15" i="2"/>
  <c r="J17" i="2" s="1"/>
  <c r="AH19" i="2"/>
  <c r="AG20" i="2"/>
  <c r="J23" i="2"/>
  <c r="N23" i="2"/>
  <c r="AM6" i="2"/>
  <c r="AK22" i="2"/>
  <c r="AE15" i="2"/>
  <c r="AE17" i="2" s="1"/>
  <c r="AE23" i="2"/>
  <c r="AG21" i="2" l="1"/>
  <c r="AH20" i="2"/>
  <c r="AH21" i="2"/>
  <c r="AI19" i="2"/>
  <c r="AN6" i="2"/>
  <c r="AL22" i="2"/>
  <c r="M23" i="2"/>
  <c r="AI8" i="2" l="1"/>
  <c r="AI21" i="2" s="1"/>
  <c r="AI20" i="2"/>
  <c r="AK3" i="2"/>
  <c r="AK5" i="2" s="1"/>
  <c r="AJ19" i="2"/>
  <c r="AO6" i="2"/>
  <c r="AP6" i="2" s="1"/>
  <c r="AM22" i="2"/>
  <c r="AF15" i="2"/>
  <c r="AF23" i="2"/>
  <c r="AP22" i="2" l="1"/>
  <c r="AQ6" i="2"/>
  <c r="AJ8" i="2"/>
  <c r="AJ21" i="2" s="1"/>
  <c r="AJ20" i="2"/>
  <c r="AF17" i="2"/>
  <c r="AG12" i="2"/>
  <c r="AJ4" i="2"/>
  <c r="AK19" i="2"/>
  <c r="AL3" i="2"/>
  <c r="AL5" i="2" s="1"/>
  <c r="AO22" i="2"/>
  <c r="AN22" i="2"/>
  <c r="AR6" i="2" l="1"/>
  <c r="AQ22" i="2"/>
  <c r="AG23" i="2"/>
  <c r="AK8" i="2"/>
  <c r="AK21" i="2" s="1"/>
  <c r="AK20" i="2"/>
  <c r="AL19" i="2"/>
  <c r="AM3" i="2"/>
  <c r="AM5" i="2" s="1"/>
  <c r="AL4" i="2"/>
  <c r="AK4" i="2"/>
  <c r="AR22" i="2" l="1"/>
  <c r="AS6" i="2"/>
  <c r="AG15" i="2"/>
  <c r="AH12" i="2" s="1"/>
  <c r="AM4" i="2"/>
  <c r="AM19" i="2"/>
  <c r="AN3" i="2"/>
  <c r="AL8" i="2"/>
  <c r="AL21" i="2" s="1"/>
  <c r="AL20" i="2"/>
  <c r="AO3" i="2" l="1"/>
  <c r="AN5" i="2"/>
  <c r="AS22" i="2"/>
  <c r="AT6" i="2"/>
  <c r="AT22" i="2" s="1"/>
  <c r="AG17" i="2"/>
  <c r="AH15" i="2"/>
  <c r="AH23" i="2"/>
  <c r="AN19" i="2"/>
  <c r="AN4" i="2"/>
  <c r="AM8" i="2"/>
  <c r="AM21" i="2" s="1"/>
  <c r="AM20" i="2"/>
  <c r="AP3" i="2" l="1"/>
  <c r="AO5" i="2"/>
  <c r="AO4" i="2" s="1"/>
  <c r="AN8" i="2"/>
  <c r="AN21" i="2" s="1"/>
  <c r="AN20" i="2"/>
  <c r="AO19" i="2"/>
  <c r="AH17" i="2"/>
  <c r="AI12" i="2"/>
  <c r="AP5" i="2" l="1"/>
  <c r="AQ3" i="2"/>
  <c r="AP19" i="2"/>
  <c r="AP4" i="2"/>
  <c r="AI23" i="2"/>
  <c r="AO8" i="2"/>
  <c r="AO21" i="2" s="1"/>
  <c r="AO20" i="2"/>
  <c r="AQ5" i="2" l="1"/>
  <c r="AR3" i="2"/>
  <c r="AQ19" i="2"/>
  <c r="AP20" i="2"/>
  <c r="AP8" i="2"/>
  <c r="AP21" i="2" s="1"/>
  <c r="AI15" i="2"/>
  <c r="AJ9" i="2" s="1"/>
  <c r="AJ12" i="2" s="1"/>
  <c r="AR5" i="2" l="1"/>
  <c r="AR19" i="2"/>
  <c r="AR4" i="2"/>
  <c r="AS3" i="2"/>
  <c r="AQ4" i="2"/>
  <c r="AQ8" i="2"/>
  <c r="AQ21" i="2" s="1"/>
  <c r="AQ20" i="2"/>
  <c r="AI17" i="2"/>
  <c r="AJ13" i="2"/>
  <c r="AJ23" i="2" s="1"/>
  <c r="AS5" i="2" l="1"/>
  <c r="AT3" i="2"/>
  <c r="AS19" i="2"/>
  <c r="AS4" i="2"/>
  <c r="AR8" i="2"/>
  <c r="AR21" i="2" s="1"/>
  <c r="AR20" i="2"/>
  <c r="AJ15" i="2"/>
  <c r="AJ17" i="2" s="1"/>
  <c r="AT5" i="2" l="1"/>
  <c r="AT19" i="2"/>
  <c r="AT4" i="2"/>
  <c r="AS8" i="2"/>
  <c r="AS21" i="2" s="1"/>
  <c r="AS20" i="2"/>
  <c r="AK9" i="2"/>
  <c r="AK12" i="2" s="1"/>
  <c r="AK13" i="2" s="1"/>
  <c r="AK23" i="2" s="1"/>
  <c r="AT20" i="2" l="1"/>
  <c r="AT8" i="2"/>
  <c r="AT21" i="2" s="1"/>
  <c r="AK15" i="2"/>
  <c r="AL9" i="2" l="1"/>
  <c r="AL12" i="2" s="1"/>
  <c r="AK17" i="2"/>
  <c r="AL13" i="2" l="1"/>
  <c r="AL23" i="2" s="1"/>
  <c r="AL15" i="2" l="1"/>
  <c r="AM9" i="2" s="1"/>
  <c r="AM12" i="2" s="1"/>
  <c r="AL17" i="2" l="1"/>
  <c r="AM13" i="2"/>
  <c r="AM23" i="2" s="1"/>
  <c r="AM15" i="2" l="1"/>
  <c r="AM17" i="2" l="1"/>
  <c r="AN9" i="2"/>
  <c r="AN12" i="2" s="1"/>
  <c r="AN13" i="2" l="1"/>
  <c r="AN23" i="2" s="1"/>
  <c r="AN15" i="2" l="1"/>
  <c r="AO9" i="2" s="1"/>
  <c r="AO12" i="2" s="1"/>
  <c r="AN17" i="2" l="1"/>
  <c r="AO13" i="2"/>
  <c r="AO23" i="2" s="1"/>
  <c r="AO15" i="2" l="1"/>
  <c r="AO17" i="2" l="1"/>
  <c r="AP9" i="2"/>
  <c r="AP12" i="2" s="1"/>
  <c r="AP13" i="2" l="1"/>
  <c r="AP23" i="2" s="1"/>
  <c r="AP15" i="2" l="1"/>
  <c r="AQ9" i="2" l="1"/>
  <c r="AQ12" i="2" s="1"/>
  <c r="AP17" i="2"/>
  <c r="AQ13" i="2" l="1"/>
  <c r="AQ23" i="2" s="1"/>
  <c r="AQ15" i="2" l="1"/>
  <c r="AR9" i="2" l="1"/>
  <c r="AR12" i="2" s="1"/>
  <c r="AQ17" i="2"/>
  <c r="AR13" i="2" l="1"/>
  <c r="AR23" i="2" s="1"/>
  <c r="AR15" i="2" l="1"/>
  <c r="AS9" i="2" s="1"/>
  <c r="AS12" i="2" s="1"/>
  <c r="AR17" i="2" l="1"/>
  <c r="AS13" i="2"/>
  <c r="AS23" i="2" s="1"/>
  <c r="AS15" i="2" l="1"/>
  <c r="AS17" i="2" l="1"/>
  <c r="AT9" i="2"/>
  <c r="AT12" i="2" s="1"/>
  <c r="AT13" i="2" l="1"/>
  <c r="AT23" i="2" s="1"/>
  <c r="AT15" i="2" l="1"/>
  <c r="AT17" i="2" l="1"/>
  <c r="AU15" i="2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AW23" i="2" l="1"/>
  <c r="AW25" i="2" s="1"/>
  <c r="AW26" i="2" s="1"/>
  <c r="AW28" i="2" s="1"/>
</calcChain>
</file>

<file path=xl/sharedStrings.xml><?xml version="1.0" encoding="utf-8"?>
<sst xmlns="http://schemas.openxmlformats.org/spreadsheetml/2006/main" count="69" uniqueCount="64">
  <si>
    <t>VFC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</si>
  <si>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</si>
  <si>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</si>
  <si>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</si>
  <si>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</si>
  <si>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</si>
  <si>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</si>
  <si>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</si>
  <si>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</si>
  <si>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</si>
  <si>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Earnings</t>
  </si>
  <si>
    <t>Q420</t>
  </si>
  <si>
    <t>Revenue</t>
  </si>
  <si>
    <t>Q119</t>
  </si>
  <si>
    <t>Q219</t>
  </si>
  <si>
    <t>Q319</t>
  </si>
  <si>
    <t>Q419</t>
  </si>
  <si>
    <t>Q120</t>
  </si>
  <si>
    <t>Q220</t>
  </si>
  <si>
    <t>Q320</t>
  </si>
  <si>
    <t>Q121</t>
  </si>
  <si>
    <t>Q221</t>
  </si>
  <si>
    <t>Q321</t>
  </si>
  <si>
    <t>Q421</t>
  </si>
  <si>
    <t>Cost of sales</t>
  </si>
  <si>
    <t>Gross profit</t>
  </si>
  <si>
    <t>SG&amp;A</t>
  </si>
  <si>
    <t>Operating profit</t>
  </si>
  <si>
    <t>Interest income</t>
  </si>
  <si>
    <t>Other income</t>
  </si>
  <si>
    <t>Pretax profit</t>
  </si>
  <si>
    <t>Taxes</t>
  </si>
  <si>
    <t>Net profit</t>
  </si>
  <si>
    <t>EPS</t>
  </si>
  <si>
    <t>MI</t>
  </si>
  <si>
    <t>Interest expense</t>
  </si>
  <si>
    <t>Revenue y/y</t>
  </si>
  <si>
    <t>Gross Margin</t>
  </si>
  <si>
    <t>Operating Margin</t>
  </si>
  <si>
    <t>SG&amp;A y/y</t>
  </si>
  <si>
    <t>Maturity</t>
  </si>
  <si>
    <t>Discount rate</t>
  </si>
  <si>
    <t>NPV</t>
  </si>
  <si>
    <t>Value</t>
  </si>
  <si>
    <t>Net cash</t>
  </si>
  <si>
    <t>Per share</t>
  </si>
  <si>
    <t>Current price</t>
  </si>
  <si>
    <t>Variance</t>
  </si>
  <si>
    <t>Consensus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</si>
  <si>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</si>
  <si>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</si>
  <si>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</si>
  <si>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</si>
  <si>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</si>
  <si>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</si>
  <si>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</si>
  <si>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</si>
  <si>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</si>
  <si>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</si>
  <si>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</si>
  <si>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</si>
  <si>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Impairment</t>
  </si>
  <si>
    <t>Net Margin</t>
  </si>
  <si>
    <t>Heavily 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</si>
</sst>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15240</xdr:colOff>
      <xdr:row>0</xdr:row>
      <xdr:rowOff>0</xdr:rowOff>
    </xdr:from>
    <xdr:to>
      <xdr:col>34</xdr:col>
      <xdr:colOff>15240</xdr:colOff>
      <xdr:row>34</xdr:row>
      <xdr:rowOff>30480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FC4E296-2443-3E88-B629-E39149748287}"/>
            </a:ext>
          </a:extLst>
        </xdr:cNvPr>
        <xdr:cNvCxnSpPr/>
      </xdr:nvCxnSpPr>
      <xdr:spPr>
        <a:xfrm>
          <a:off x="24597360" y="0"/>
          <a:ext cx="0" cy="624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</xdr:colOff>
      <xdr:row>0</xdr:row>
      <xdr:rowOff>15240</xdr:rowOff>
    </xdr:from>
    <xdr:to>
      <xdr:col>25</xdr:col>
      <xdr:colOff>15240</xdr:colOff>
      <xdr:row>33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E962C37-C021-875F-FFF2-E3B0B5304E14}"/>
            </a:ext>
          </a:extLst>
        </xdr:cNvPr>
        <xdr:cNvCxnSpPr/>
      </xdr:nvCxnSpPr>
      <xdr:spPr>
        <a:xfrm>
          <a:off x="18310860" y="15240"/>
          <a:ext cx="0" cy="612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CDEC-7169-428E-B22F-802B16B98538}">
  <dimension ref="B2:G9"/>
  <sheetViews>
    <sheetView workbookViewId="0">
      <selection activeCell="D6" sqref="D6"/>
    </sheetView>
  </sheetViews>
  <sheetFormatPr defaultRowHeight="14.4" x14ac:dyDescent="0.3"/>
  <cols>
    <col min="5" max="7" width="15.77734375" style="3" customWidth="1"/>
  </cols>
  <sheetData>
    <row r="2" spans="2:7" x14ac:dyDescent="0.3">
      <c r="E2" s="3" t="s">
        <v>8</v>
      </c>
      <c r="F2" s="3" t="s">
        <v>9</v>
      </c>
      <c r="G2" s="3" t="s">
        <v>10</v>
      </c>
    </row>
    <row r="3" spans="2:7" x14ac:dyDescent="0.3">
      <c r="B3" s="1" t="s">
        <v>0</v>
      </c>
      <c r="C3" t="s">
        <v>1</v>
      </c>
      <c r="D3" s="6">
        <v>11.54</v>
      </c>
      <c r="E3" s="4">
        <v>45772</v>
      </c>
      <c r="F3" s="4">
        <f ca="1">TODAY()</f>
        <v>45772</v>
      </c>
      <c r="G3" s="4">
        <v>45798</v>
      </c>
    </row>
    <row r="4" spans="2:7" x14ac:dyDescent="0.3">
      <c r="C4" t="s">
        <v>2</v>
      </c>
      <c r="D4" s="5">
        <f>387.6</f>
        <v>387.6</v>
      </c>
      <c r="E4" s="3" t="s">
        <v>59</v>
      </c>
    </row>
    <row r="5" spans="2:7" x14ac:dyDescent="0.3">
      <c r="C5" t="s">
        <v>3</v>
      </c>
      <c r="D5" s="5">
        <f>D3*D4</f>
        <v>4472.9039999999995</v>
      </c>
    </row>
    <row r="6" spans="2:7" x14ac:dyDescent="0.3">
      <c r="C6" t="s">
        <v>4</v>
      </c>
      <c r="D6" s="5">
        <f>1369.4</f>
        <v>1369.4</v>
      </c>
      <c r="E6" s="3" t="s">
        <v>59</v>
      </c>
    </row>
    <row r="7" spans="2:7" x14ac:dyDescent="0.3">
      <c r="C7" t="s">
        <v>5</v>
      </c>
      <c r="D7" s="5">
        <f>12.8+750.5+3884.6</f>
        <v>4647.8999999999996</v>
      </c>
      <c r="E7" s="3" t="s">
        <v>59</v>
      </c>
    </row>
    <row r="8" spans="2:7" x14ac:dyDescent="0.3">
      <c r="C8" t="s">
        <v>6</v>
      </c>
      <c r="D8" s="5">
        <f>D6-D7</f>
        <v>-3278.4999999999995</v>
      </c>
    </row>
    <row r="9" spans="2:7" x14ac:dyDescent="0.3">
      <c r="C9" t="s">
        <v>7</v>
      </c>
      <c r="D9" s="5">
        <f>D5-D8</f>
        <v>7751.4039999999986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623E-96B2-4FE1-9D19-271921E5BC63}">
  <dimension ref="B1:FC29"/>
  <sheetViews>
    <sheetView tabSelected="1" workbookViewId="0">
      <pane xSplit="2" ySplit="2" topLeftCell="AG3" activePane="bottomRight" state="frozen"/>
      <selection pane="topRight" activeCell="C1" sqref="C1"/>
      <selection pane="bottomLeft" activeCell="A3" sqref="A3"/>
      <selection pane="bottomRight" activeCell="AW29" sqref="AW29"/>
    </sheetView>
  </sheetViews>
  <sheetFormatPr defaultRowHeight="14.4" x14ac:dyDescent="0.3"/>
  <cols>
    <col min="2" max="2" width="15.109375" bestFit="1" customWidth="1"/>
    <col min="3" max="13" width="10.5546875" customWidth="1"/>
    <col min="14" max="14" width="10.5546875" bestFit="1" customWidth="1"/>
    <col min="15" max="26" width="10.5546875" customWidth="1"/>
    <col min="29" max="46" width="10.5546875" bestFit="1" customWidth="1"/>
    <col min="48" max="48" width="11.88671875" bestFit="1" customWidth="1"/>
    <col min="49" max="49" width="17" customWidth="1"/>
  </cols>
  <sheetData>
    <row r="1" spans="2:159" x14ac:dyDescent="0.3">
      <c r="C1" s="2">
        <v>43646</v>
      </c>
      <c r="D1" s="2">
        <v>43738</v>
      </c>
      <c r="E1" s="2">
        <v>43830</v>
      </c>
      <c r="F1" s="2">
        <v>43921</v>
      </c>
      <c r="G1" s="2">
        <v>44012</v>
      </c>
      <c r="H1" s="2">
        <v>44104</v>
      </c>
      <c r="I1" s="2">
        <v>44196</v>
      </c>
      <c r="J1" s="2">
        <v>44286</v>
      </c>
      <c r="K1" s="2">
        <v>44377</v>
      </c>
      <c r="L1" s="2">
        <v>44469</v>
      </c>
      <c r="M1" s="2">
        <v>44561</v>
      </c>
      <c r="N1" s="2">
        <v>44651</v>
      </c>
      <c r="O1" s="2">
        <v>44742</v>
      </c>
      <c r="P1" s="2">
        <v>44834</v>
      </c>
      <c r="Q1" s="2">
        <v>44926</v>
      </c>
      <c r="R1" s="2">
        <v>45016</v>
      </c>
      <c r="S1" s="2">
        <v>45107</v>
      </c>
      <c r="T1" s="2">
        <v>45199</v>
      </c>
      <c r="U1" s="2">
        <v>45291</v>
      </c>
      <c r="V1" s="2">
        <v>45382</v>
      </c>
      <c r="W1" s="2">
        <v>45473</v>
      </c>
      <c r="X1" s="2">
        <v>45565</v>
      </c>
      <c r="Y1" s="2">
        <v>45657</v>
      </c>
      <c r="Z1" s="2">
        <v>45747</v>
      </c>
      <c r="AC1" s="2">
        <v>43555</v>
      </c>
      <c r="AD1" s="2">
        <v>43921</v>
      </c>
      <c r="AE1" s="2">
        <v>44286</v>
      </c>
      <c r="AF1" s="2">
        <v>44651</v>
      </c>
      <c r="AG1" s="2">
        <v>45016</v>
      </c>
      <c r="AH1" s="2">
        <v>45382</v>
      </c>
      <c r="AI1" s="2">
        <v>45747</v>
      </c>
      <c r="AJ1" s="2">
        <v>46112</v>
      </c>
      <c r="AK1" s="2">
        <v>46477</v>
      </c>
      <c r="AL1" s="2">
        <v>46843</v>
      </c>
      <c r="AM1" s="2">
        <v>47208</v>
      </c>
      <c r="AN1" s="2">
        <v>47573</v>
      </c>
      <c r="AO1" s="2">
        <v>47938</v>
      </c>
      <c r="AP1" s="2">
        <v>48304</v>
      </c>
      <c r="AQ1" s="2">
        <v>48669</v>
      </c>
      <c r="AR1" s="2">
        <v>49034</v>
      </c>
      <c r="AS1" s="2">
        <v>49399</v>
      </c>
      <c r="AT1" s="2">
        <v>49765</v>
      </c>
    </row>
    <row r="2" spans="2:159" x14ac:dyDescent="0.3"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11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49</v>
      </c>
      <c r="P2" s="7" t="s">
        <v>50</v>
      </c>
      <c r="Q2" s="7" t="s">
        <v>51</v>
      </c>
      <c r="R2" s="7" t="s">
        <v>52</v>
      </c>
      <c r="S2" s="7" t="s">
        <v>53</v>
      </c>
      <c r="T2" s="7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  <c r="Z2" s="7" t="s">
        <v>60</v>
      </c>
      <c r="AC2">
        <v>2018</v>
      </c>
      <c r="AD2">
        <v>2019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</row>
    <row r="3" spans="2:159" s="1" customFormat="1" x14ac:dyDescent="0.3">
      <c r="B3" s="1" t="s">
        <v>12</v>
      </c>
      <c r="C3" s="9">
        <v>2050.6999999999998</v>
      </c>
      <c r="D3" s="9">
        <v>3179.8</v>
      </c>
      <c r="E3" s="9">
        <v>3384.7</v>
      </c>
      <c r="F3" s="9">
        <v>2102.4</v>
      </c>
      <c r="G3" s="9">
        <v>1076.3</v>
      </c>
      <c r="H3" s="9">
        <v>2608.3000000000002</v>
      </c>
      <c r="I3" s="9">
        <v>2971.5</v>
      </c>
      <c r="J3" s="9">
        <v>2582.6999999999998</v>
      </c>
      <c r="K3" s="9"/>
      <c r="L3" s="9"/>
      <c r="M3" s="9"/>
      <c r="N3" s="9"/>
      <c r="O3" s="9"/>
      <c r="P3" s="9"/>
      <c r="Q3" s="9"/>
      <c r="R3" s="9"/>
      <c r="S3" s="9">
        <v>2086.3000000000002</v>
      </c>
      <c r="T3" s="9">
        <v>2920.1</v>
      </c>
      <c r="U3" s="9">
        <v>2780.2</v>
      </c>
      <c r="V3" s="9">
        <f>AH3-U3-T3-S3</f>
        <v>2668.1000000000013</v>
      </c>
      <c r="W3" s="9">
        <v>1907.3</v>
      </c>
      <c r="X3" s="9">
        <v>2757.9</v>
      </c>
      <c r="Y3" s="9">
        <v>2833.9</v>
      </c>
      <c r="Z3" s="9">
        <f>V3*1.03</f>
        <v>2748.1430000000014</v>
      </c>
      <c r="AC3" s="9">
        <v>10266.9</v>
      </c>
      <c r="AD3" s="9">
        <v>10488.6</v>
      </c>
      <c r="AE3" s="9">
        <f>SUM(G3:J3)</f>
        <v>9238.7999999999993</v>
      </c>
      <c r="AF3" s="9">
        <v>11841.8</v>
      </c>
      <c r="AG3" s="9">
        <v>11612.5</v>
      </c>
      <c r="AH3" s="9">
        <v>10454.700000000001</v>
      </c>
      <c r="AI3" s="9">
        <f>SUM(W3:Z3)</f>
        <v>10247.243000000002</v>
      </c>
      <c r="AJ3" s="9">
        <f>AI3*1.03</f>
        <v>10554.660290000003</v>
      </c>
      <c r="AK3" s="9">
        <f>AJ3*1.02</f>
        <v>10765.753495800003</v>
      </c>
      <c r="AL3" s="9">
        <f t="shared" ref="AL3:AN3" si="0">AK3*1.02</f>
        <v>10981.068565716003</v>
      </c>
      <c r="AM3" s="9">
        <f t="shared" si="0"/>
        <v>11200.689937030324</v>
      </c>
      <c r="AN3" s="9">
        <f t="shared" si="0"/>
        <v>11424.703735770931</v>
      </c>
      <c r="AO3" s="9">
        <f>AN3*1.01</f>
        <v>11538.950773128639</v>
      </c>
      <c r="AP3" s="9">
        <f t="shared" ref="AP3:AT3" si="1">AO3*1.01</f>
        <v>11654.340280859926</v>
      </c>
      <c r="AQ3" s="9">
        <f t="shared" si="1"/>
        <v>11770.883683668526</v>
      </c>
      <c r="AR3" s="9">
        <f t="shared" si="1"/>
        <v>11888.592520505212</v>
      </c>
      <c r="AS3" s="9">
        <f t="shared" si="1"/>
        <v>12007.478445710263</v>
      </c>
      <c r="AT3" s="9">
        <f t="shared" si="1"/>
        <v>12127.553230167367</v>
      </c>
    </row>
    <row r="4" spans="2:159" x14ac:dyDescent="0.3">
      <c r="B4" t="s">
        <v>24</v>
      </c>
      <c r="C4" s="5">
        <v>896.3</v>
      </c>
      <c r="D4" s="5">
        <v>1456.3</v>
      </c>
      <c r="E4" s="5">
        <v>1500.5</v>
      </c>
      <c r="F4" s="5">
        <v>986.3</v>
      </c>
      <c r="G4" s="5">
        <v>507</v>
      </c>
      <c r="H4" s="5">
        <v>1282.4000000000001</v>
      </c>
      <c r="I4" s="5">
        <v>1345</v>
      </c>
      <c r="J4" s="5">
        <v>1236.4000000000001</v>
      </c>
      <c r="K4" s="5"/>
      <c r="L4" s="5"/>
      <c r="M4" s="5"/>
      <c r="N4" s="5"/>
      <c r="O4" s="5"/>
      <c r="P4" s="5"/>
      <c r="Q4" s="5"/>
      <c r="R4" s="5"/>
      <c r="S4" s="5">
        <v>985.3</v>
      </c>
      <c r="T4" s="5">
        <v>1430.2</v>
      </c>
      <c r="U4" s="5">
        <v>1261.2</v>
      </c>
      <c r="V4" s="5">
        <f>AH4-U4-T4-S4</f>
        <v>1340.7</v>
      </c>
      <c r="W4" s="5">
        <v>915.6</v>
      </c>
      <c r="X4" s="5">
        <v>1317.4</v>
      </c>
      <c r="Y4" s="5">
        <v>1238.7</v>
      </c>
      <c r="Z4" s="5">
        <f>Z3-Z5</f>
        <v>1374.0715000000007</v>
      </c>
      <c r="AC4" s="5">
        <v>4656.3</v>
      </c>
      <c r="AD4" s="5">
        <v>4690.5</v>
      </c>
      <c r="AE4" s="5">
        <f>SUM(G4:J4)</f>
        <v>4370.8</v>
      </c>
      <c r="AF4" s="5">
        <v>5386.4</v>
      </c>
      <c r="AG4" s="5">
        <v>5515.8</v>
      </c>
      <c r="AH4" s="5">
        <v>5017.3999999999996</v>
      </c>
      <c r="AI4" s="5">
        <f>SUM(W4:Z4)</f>
        <v>4845.7715000000007</v>
      </c>
      <c r="AJ4" s="5">
        <f t="shared" ref="AJ4:AO4" si="2">AJ3-AJ5</f>
        <v>4960.690336300001</v>
      </c>
      <c r="AK4" s="5">
        <f t="shared" si="2"/>
        <v>5059.9041430260013</v>
      </c>
      <c r="AL4" s="5">
        <f t="shared" si="2"/>
        <v>5161.1022258865214</v>
      </c>
      <c r="AM4" s="5">
        <f t="shared" si="2"/>
        <v>5264.3242704042514</v>
      </c>
      <c r="AN4" s="5">
        <f t="shared" si="2"/>
        <v>5369.6107558123367</v>
      </c>
      <c r="AO4" s="5">
        <f t="shared" si="2"/>
        <v>5423.3068633704606</v>
      </c>
      <c r="AP4" s="5">
        <f t="shared" ref="AP4:AT4" si="3">AP3-AP5</f>
        <v>5477.5399320041652</v>
      </c>
      <c r="AQ4" s="5">
        <f t="shared" si="3"/>
        <v>5532.3153313242065</v>
      </c>
      <c r="AR4" s="5">
        <f t="shared" si="3"/>
        <v>5587.6384846374494</v>
      </c>
      <c r="AS4" s="5">
        <f t="shared" si="3"/>
        <v>5643.5148694838235</v>
      </c>
      <c r="AT4" s="5">
        <f t="shared" si="3"/>
        <v>5699.9500181786616</v>
      </c>
    </row>
    <row r="5" spans="2:159" s="1" customFormat="1" x14ac:dyDescent="0.3">
      <c r="B5" s="1" t="s">
        <v>25</v>
      </c>
      <c r="C5" s="9">
        <f t="shared" ref="C5:J5" si="4">C3-C4</f>
        <v>1154.3999999999999</v>
      </c>
      <c r="D5" s="9">
        <f t="shared" si="4"/>
        <v>1723.5000000000002</v>
      </c>
      <c r="E5" s="9">
        <f t="shared" si="4"/>
        <v>1884.1999999999998</v>
      </c>
      <c r="F5" s="9">
        <f t="shared" si="4"/>
        <v>1116.1000000000001</v>
      </c>
      <c r="G5" s="9">
        <f t="shared" si="4"/>
        <v>569.29999999999995</v>
      </c>
      <c r="H5" s="9">
        <f t="shared" si="4"/>
        <v>1325.9</v>
      </c>
      <c r="I5" s="9">
        <f t="shared" si="4"/>
        <v>1626.5</v>
      </c>
      <c r="J5" s="9">
        <f t="shared" si="4"/>
        <v>1346.2999999999997</v>
      </c>
      <c r="K5" s="9"/>
      <c r="L5" s="9"/>
      <c r="M5" s="9"/>
      <c r="N5" s="9"/>
      <c r="O5" s="9"/>
      <c r="P5" s="9"/>
      <c r="Q5" s="9"/>
      <c r="R5" s="9"/>
      <c r="S5" s="9">
        <f t="shared" ref="S5" si="5">S3-S4</f>
        <v>1101.0000000000002</v>
      </c>
      <c r="T5" s="9">
        <f t="shared" ref="T5" si="6">T3-T4</f>
        <v>1489.8999999999999</v>
      </c>
      <c r="U5" s="9">
        <f t="shared" ref="U5:V5" si="7">U3-U4</f>
        <v>1518.9999999999998</v>
      </c>
      <c r="V5" s="9">
        <f t="shared" si="7"/>
        <v>1327.4000000000012</v>
      </c>
      <c r="W5" s="9">
        <f t="shared" ref="W5" si="8">W3-W4</f>
        <v>991.69999999999993</v>
      </c>
      <c r="X5" s="9">
        <f t="shared" ref="X5" si="9">X3-X4</f>
        <v>1440.5</v>
      </c>
      <c r="Y5" s="9">
        <f t="shared" ref="Y5" si="10">Y3-Y4</f>
        <v>1595.2</v>
      </c>
      <c r="Z5" s="9">
        <f>Z3*0.5</f>
        <v>1374.0715000000007</v>
      </c>
      <c r="AC5" s="9">
        <f t="shared" ref="AC5:AF5" si="11">AC3-AC4</f>
        <v>5610.5999999999995</v>
      </c>
      <c r="AD5" s="9">
        <f t="shared" si="11"/>
        <v>5798.1</v>
      </c>
      <c r="AE5" s="9">
        <f t="shared" si="11"/>
        <v>4867.9999999999991</v>
      </c>
      <c r="AF5" s="9">
        <f t="shared" si="11"/>
        <v>6455.4</v>
      </c>
      <c r="AG5" s="9">
        <f>AG3-AG4</f>
        <v>6096.7</v>
      </c>
      <c r="AH5" s="9">
        <f>AH3-AH4</f>
        <v>5437.3000000000011</v>
      </c>
      <c r="AI5" s="9">
        <f>AI3-AI4</f>
        <v>5401.4715000000015</v>
      </c>
      <c r="AJ5" s="9">
        <f>AJ3*0.53</f>
        <v>5593.9699537000024</v>
      </c>
      <c r="AK5" s="9">
        <f t="shared" ref="AK5:AT5" si="12">AK3*0.53</f>
        <v>5705.849352774002</v>
      </c>
      <c r="AL5" s="9">
        <f t="shared" si="12"/>
        <v>5819.9663398294815</v>
      </c>
      <c r="AM5" s="9">
        <f t="shared" si="12"/>
        <v>5936.3656666260722</v>
      </c>
      <c r="AN5" s="9">
        <f t="shared" si="12"/>
        <v>6055.0929799585938</v>
      </c>
      <c r="AO5" s="9">
        <f t="shared" si="12"/>
        <v>6115.6439097581788</v>
      </c>
      <c r="AP5" s="9">
        <f t="shared" si="12"/>
        <v>6176.8003488557606</v>
      </c>
      <c r="AQ5" s="9">
        <f t="shared" si="12"/>
        <v>6238.5683523443195</v>
      </c>
      <c r="AR5" s="9">
        <f t="shared" si="12"/>
        <v>6300.9540358677623</v>
      </c>
      <c r="AS5" s="9">
        <f t="shared" si="12"/>
        <v>6363.9635762264397</v>
      </c>
      <c r="AT5" s="9">
        <f t="shared" si="12"/>
        <v>6427.603211988705</v>
      </c>
    </row>
    <row r="6" spans="2:159" x14ac:dyDescent="0.3">
      <c r="B6" t="s">
        <v>26</v>
      </c>
      <c r="C6" s="5">
        <v>1058.4000000000001</v>
      </c>
      <c r="D6" s="5">
        <v>1174.9000000000001</v>
      </c>
      <c r="E6" s="5">
        <v>1305.5</v>
      </c>
      <c r="F6" s="5">
        <f>1049.7+323.2</f>
        <v>1372.9</v>
      </c>
      <c r="G6" s="5">
        <v>816.2</v>
      </c>
      <c r="H6" s="5">
        <v>1006</v>
      </c>
      <c r="I6" s="5">
        <v>1214.5</v>
      </c>
      <c r="J6" s="5">
        <v>1211.3</v>
      </c>
      <c r="K6" s="5"/>
      <c r="L6" s="5"/>
      <c r="M6" s="5"/>
      <c r="N6" s="5"/>
      <c r="O6" s="5"/>
      <c r="P6" s="5"/>
      <c r="Q6" s="5"/>
      <c r="R6" s="5"/>
      <c r="S6" s="5">
        <v>1110.0999999999999</v>
      </c>
      <c r="T6" s="5">
        <v>1139.4000000000001</v>
      </c>
      <c r="U6" s="5">
        <v>1353.2</v>
      </c>
      <c r="V6" s="5">
        <f>AH6-U6-T6-S6</f>
        <v>1361</v>
      </c>
      <c r="W6" s="5">
        <v>1086.5999999999999</v>
      </c>
      <c r="X6" s="5">
        <v>1166.7</v>
      </c>
      <c r="Y6" s="5">
        <v>1318.4</v>
      </c>
      <c r="Z6" s="5">
        <f>V6*0.98</f>
        <v>1333.78</v>
      </c>
      <c r="AC6" s="5">
        <v>4420.1000000000004</v>
      </c>
      <c r="AD6" s="5">
        <f>4547+323.2</f>
        <v>4870.2</v>
      </c>
      <c r="AE6" s="5">
        <f>SUM(G6:J6)</f>
        <v>4248</v>
      </c>
      <c r="AF6" s="5">
        <v>4823.2</v>
      </c>
      <c r="AG6" s="5">
        <v>5034</v>
      </c>
      <c r="AH6" s="5">
        <v>4963.7</v>
      </c>
      <c r="AI6" s="5">
        <f>SUM(W6:Z6)</f>
        <v>4905.4800000000005</v>
      </c>
      <c r="AJ6" s="5">
        <f>AI6*1.02</f>
        <v>5003.5896000000002</v>
      </c>
      <c r="AK6" s="5">
        <f>AJ6*1.02</f>
        <v>5103.661392</v>
      </c>
      <c r="AL6" s="5">
        <f t="shared" ref="AL6:AO6" si="13">AK6*1.01</f>
        <v>5154.6980059200005</v>
      </c>
      <c r="AM6" s="5">
        <f t="shared" si="13"/>
        <v>5206.2449859792005</v>
      </c>
      <c r="AN6" s="5">
        <f t="shared" si="13"/>
        <v>5258.3074358389922</v>
      </c>
      <c r="AO6" s="5">
        <f t="shared" si="13"/>
        <v>5310.8905101973824</v>
      </c>
      <c r="AP6" s="5">
        <f t="shared" ref="AP6" si="14">AO6*1.01</f>
        <v>5363.9994152993559</v>
      </c>
      <c r="AQ6" s="5">
        <f t="shared" ref="AQ6" si="15">AP6*1.01</f>
        <v>5417.6394094523494</v>
      </c>
      <c r="AR6" s="5">
        <f t="shared" ref="AR6" si="16">AQ6*1.01</f>
        <v>5471.8158035468732</v>
      </c>
      <c r="AS6" s="5">
        <f t="shared" ref="AS6" si="17">AR6*1.01</f>
        <v>5526.5339615823423</v>
      </c>
      <c r="AT6" s="5">
        <f t="shared" ref="AT6" si="18">AS6*1.01</f>
        <v>5581.7993011981662</v>
      </c>
    </row>
    <row r="7" spans="2:159" x14ac:dyDescent="0.3">
      <c r="B7" t="s">
        <v>61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0</v>
      </c>
      <c r="T7" s="5">
        <v>0</v>
      </c>
      <c r="U7" s="5">
        <v>257.10000000000002</v>
      </c>
      <c r="V7" s="5">
        <f>AH7-U7-T7-S7</f>
        <v>250.5</v>
      </c>
      <c r="W7" s="5">
        <v>145</v>
      </c>
      <c r="X7" s="5">
        <v>0</v>
      </c>
      <c r="Y7" s="5">
        <v>51</v>
      </c>
      <c r="Z7" s="5">
        <v>0</v>
      </c>
      <c r="AC7" s="5"/>
      <c r="AD7" s="5"/>
      <c r="AE7" s="5"/>
      <c r="AF7" s="5">
        <v>0</v>
      </c>
      <c r="AG7" s="5">
        <v>735</v>
      </c>
      <c r="AH7" s="5">
        <v>507.6</v>
      </c>
      <c r="AI7" s="5">
        <f>SUM(W7:Z7)</f>
        <v>196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2:159" s="1" customFormat="1" x14ac:dyDescent="0.3">
      <c r="B8" s="1" t="s">
        <v>27</v>
      </c>
      <c r="C8" s="9">
        <f t="shared" ref="C8:J8" si="19">C5-C6</f>
        <v>95.999999999999773</v>
      </c>
      <c r="D8" s="9">
        <f t="shared" si="19"/>
        <v>548.60000000000014</v>
      </c>
      <c r="E8" s="9">
        <f t="shared" si="19"/>
        <v>578.69999999999982</v>
      </c>
      <c r="F8" s="9">
        <f t="shared" si="19"/>
        <v>-256.79999999999995</v>
      </c>
      <c r="G8" s="9">
        <f t="shared" si="19"/>
        <v>-246.90000000000009</v>
      </c>
      <c r="H8" s="9">
        <f t="shared" si="19"/>
        <v>319.90000000000009</v>
      </c>
      <c r="I8" s="9">
        <f t="shared" si="19"/>
        <v>412</v>
      </c>
      <c r="J8" s="9">
        <f t="shared" si="19"/>
        <v>134.99999999999977</v>
      </c>
      <c r="K8" s="9"/>
      <c r="L8" s="9"/>
      <c r="M8" s="9"/>
      <c r="N8" s="9"/>
      <c r="O8" s="9"/>
      <c r="P8" s="9"/>
      <c r="Q8" s="9"/>
      <c r="R8" s="9"/>
      <c r="S8" s="9">
        <f t="shared" ref="S8:Z8" si="20">S5-S6-S7</f>
        <v>-9.0999999999996817</v>
      </c>
      <c r="T8" s="9">
        <f t="shared" si="20"/>
        <v>350.49999999999977</v>
      </c>
      <c r="U8" s="9">
        <f t="shared" si="20"/>
        <v>-91.300000000000296</v>
      </c>
      <c r="V8" s="9">
        <f t="shared" si="20"/>
        <v>-284.09999999999877</v>
      </c>
      <c r="W8" s="9">
        <f t="shared" si="20"/>
        <v>-239.89999999999998</v>
      </c>
      <c r="X8" s="9">
        <f t="shared" si="20"/>
        <v>273.79999999999995</v>
      </c>
      <c r="Y8" s="9">
        <f t="shared" si="20"/>
        <v>225.79999999999995</v>
      </c>
      <c r="Z8" s="9">
        <f t="shared" si="20"/>
        <v>40.291500000000724</v>
      </c>
      <c r="AC8" s="9">
        <f>AC5-AC6</f>
        <v>1190.4999999999991</v>
      </c>
      <c r="AD8" s="9">
        <f>AD5-AD6</f>
        <v>927.90000000000055</v>
      </c>
      <c r="AE8" s="9">
        <f>AE5-AE6</f>
        <v>619.99999999999909</v>
      </c>
      <c r="AF8" s="9">
        <f>AF5-AF6-AF7</f>
        <v>1632.1999999999998</v>
      </c>
      <c r="AG8" s="9">
        <f>AG5-AG6-AG7</f>
        <v>327.69999999999982</v>
      </c>
      <c r="AH8" s="9">
        <f>AH5-AH6-AH7</f>
        <v>-33.999999999998749</v>
      </c>
      <c r="AI8" s="9">
        <f t="shared" ref="AI8:AT8" si="21">AI5-AI6</f>
        <v>495.991500000001</v>
      </c>
      <c r="AJ8" s="9">
        <f t="shared" si="21"/>
        <v>590.38035370000216</v>
      </c>
      <c r="AK8" s="9">
        <f t="shared" si="21"/>
        <v>602.18796077400202</v>
      </c>
      <c r="AL8" s="9">
        <f t="shared" si="21"/>
        <v>665.26833390948104</v>
      </c>
      <c r="AM8" s="9">
        <f t="shared" si="21"/>
        <v>730.12068064687173</v>
      </c>
      <c r="AN8" s="9">
        <f t="shared" si="21"/>
        <v>796.78554411960158</v>
      </c>
      <c r="AO8" s="9">
        <f t="shared" si="21"/>
        <v>804.75339956079642</v>
      </c>
      <c r="AP8" s="9">
        <f t="shared" si="21"/>
        <v>812.80093355640474</v>
      </c>
      <c r="AQ8" s="9">
        <f t="shared" si="21"/>
        <v>820.92894289197011</v>
      </c>
      <c r="AR8" s="9">
        <f t="shared" si="21"/>
        <v>829.13823232088907</v>
      </c>
      <c r="AS8" s="9">
        <f t="shared" si="21"/>
        <v>837.42961464409746</v>
      </c>
      <c r="AT8" s="9">
        <f t="shared" si="21"/>
        <v>845.80391079053879</v>
      </c>
    </row>
    <row r="9" spans="2:159" x14ac:dyDescent="0.3">
      <c r="B9" t="s">
        <v>28</v>
      </c>
      <c r="C9" s="5">
        <v>-6.5</v>
      </c>
      <c r="D9" s="5">
        <v>-4.4000000000000004</v>
      </c>
      <c r="E9" s="5">
        <v>-5.5</v>
      </c>
      <c r="F9" s="5">
        <f>AD9-E9-D9-C9</f>
        <v>-3.4999999999999982</v>
      </c>
      <c r="G9" s="5">
        <v>-1.3</v>
      </c>
      <c r="H9" s="5">
        <v>-3.2</v>
      </c>
      <c r="I9" s="5">
        <v>-2.5</v>
      </c>
      <c r="J9" s="5">
        <v>0</v>
      </c>
      <c r="K9" s="5"/>
      <c r="L9" s="5"/>
      <c r="M9" s="5"/>
      <c r="N9" s="5"/>
      <c r="O9" s="5"/>
      <c r="P9" s="5"/>
      <c r="Q9" s="5"/>
      <c r="R9" s="5"/>
      <c r="S9" s="5">
        <v>-5.5</v>
      </c>
      <c r="T9" s="5">
        <v>-4.5</v>
      </c>
      <c r="U9" s="5">
        <v>-3.6</v>
      </c>
      <c r="V9" s="5">
        <f>AH9-U9-T9-S9</f>
        <v>-8</v>
      </c>
      <c r="W9" s="5">
        <v>-3.6</v>
      </c>
      <c r="X9" s="5">
        <v>-3.7</v>
      </c>
      <c r="Y9" s="5">
        <v>-6.8</v>
      </c>
      <c r="Z9" s="5">
        <v>-7</v>
      </c>
      <c r="AC9" s="5">
        <v>-15</v>
      </c>
      <c r="AD9" s="5">
        <v>-19.899999999999999</v>
      </c>
      <c r="AE9" s="5">
        <f>SUM(G9:J9)</f>
        <v>-7</v>
      </c>
      <c r="AF9" s="5">
        <v>-5</v>
      </c>
      <c r="AG9" s="5">
        <v>-9.8000000000000007</v>
      </c>
      <c r="AH9" s="5">
        <v>-21.6</v>
      </c>
      <c r="AI9" s="5">
        <f>SUM(W9:Z9)</f>
        <v>-21.1</v>
      </c>
      <c r="AJ9" s="5">
        <f t="shared" ref="AJ9:AO9" si="22">-AI15*0.02</f>
        <v>-3.2138138000000187</v>
      </c>
      <c r="AK9" s="5">
        <f t="shared" si="22"/>
        <v>-4.5099008475000373</v>
      </c>
      <c r="AL9" s="5">
        <f t="shared" si="22"/>
        <v>-5.3140588475655361</v>
      </c>
      <c r="AM9" s="5">
        <f t="shared" si="22"/>
        <v>-6.8759089328697929</v>
      </c>
      <c r="AN9" s="5">
        <f t="shared" si="22"/>
        <v>-8.3960836817356093</v>
      </c>
      <c r="AO9" s="5">
        <f t="shared" si="22"/>
        <v>-9.8784093527251322</v>
      </c>
      <c r="AP9" s="5">
        <f t="shared" ref="AP9" si="23">-AO15*0.02</f>
        <v>-10.307674281550218</v>
      </c>
      <c r="AQ9" s="5">
        <f t="shared" ref="AQ9" si="24">-AP15*0.02</f>
        <v>-10.676535819481181</v>
      </c>
      <c r="AR9" s="5">
        <f t="shared" ref="AR9" si="25">-AQ15*0.02</f>
        <v>-11.010456536058697</v>
      </c>
      <c r="AS9" s="5">
        <f t="shared" ref="AS9" si="26">-AR15*0.02</f>
        <v>-11.316746001735098</v>
      </c>
      <c r="AT9" s="5">
        <f t="shared" ref="AT9" si="27">-AS15*0.02</f>
        <v>-11.601036585252592</v>
      </c>
    </row>
    <row r="10" spans="2:159" x14ac:dyDescent="0.3">
      <c r="B10" t="s">
        <v>35</v>
      </c>
      <c r="C10" s="5">
        <v>22.1</v>
      </c>
      <c r="D10" s="5">
        <v>20.8</v>
      </c>
      <c r="E10" s="5">
        <v>22.3</v>
      </c>
      <c r="F10" s="5">
        <f>AD10-E10-D10-C10</f>
        <v>26.800000000000004</v>
      </c>
      <c r="G10" s="5">
        <v>29.3</v>
      </c>
      <c r="H10" s="5">
        <v>34.1</v>
      </c>
      <c r="I10" s="5">
        <v>34.299999999999997</v>
      </c>
      <c r="J10" s="5">
        <v>35.799999999999997</v>
      </c>
      <c r="K10" s="5"/>
      <c r="L10" s="5"/>
      <c r="M10" s="5"/>
      <c r="N10" s="5"/>
      <c r="O10" s="5"/>
      <c r="P10" s="5"/>
      <c r="Q10" s="5"/>
      <c r="R10" s="5"/>
      <c r="S10" s="5">
        <v>55.2</v>
      </c>
      <c r="T10" s="5">
        <v>45.7</v>
      </c>
      <c r="U10" s="5">
        <v>52.7</v>
      </c>
      <c r="V10" s="5">
        <f>AH10-U10-T10-S10</f>
        <v>91.40000000000002</v>
      </c>
      <c r="W10" s="5">
        <v>59.2</v>
      </c>
      <c r="X10" s="5">
        <v>46.4</v>
      </c>
      <c r="Y10" s="5">
        <v>43.3</v>
      </c>
      <c r="Z10" s="5">
        <v>43</v>
      </c>
      <c r="AC10" s="5">
        <v>107.7</v>
      </c>
      <c r="AD10" s="5">
        <v>92</v>
      </c>
      <c r="AE10" s="5">
        <f>SUM(G10:J10)</f>
        <v>133.5</v>
      </c>
      <c r="AF10" s="5">
        <f>136.5+3.6</f>
        <v>140.1</v>
      </c>
      <c r="AG10" s="5">
        <v>174.4</v>
      </c>
      <c r="AH10" s="5">
        <v>245</v>
      </c>
      <c r="AI10" s="5">
        <f>SUM(W10:Z10)</f>
        <v>191.89999999999998</v>
      </c>
      <c r="AJ10" s="5">
        <f t="shared" ref="AJ10:AO10" si="28">AI10*0.8</f>
        <v>153.51999999999998</v>
      </c>
      <c r="AK10" s="5">
        <f t="shared" si="28"/>
        <v>122.81599999999999</v>
      </c>
      <c r="AL10" s="5">
        <f t="shared" si="28"/>
        <v>98.252799999999993</v>
      </c>
      <c r="AM10" s="5">
        <f t="shared" si="28"/>
        <v>78.602239999999995</v>
      </c>
      <c r="AN10" s="5">
        <f t="shared" si="28"/>
        <v>62.881791999999997</v>
      </c>
      <c r="AO10" s="5">
        <f t="shared" si="28"/>
        <v>50.305433600000001</v>
      </c>
      <c r="AP10" s="5">
        <f t="shared" ref="AP10" si="29">AO10*0.8</f>
        <v>40.244346880000002</v>
      </c>
      <c r="AQ10" s="5">
        <f t="shared" ref="AQ10" si="30">AP10*0.8</f>
        <v>32.195477504000003</v>
      </c>
      <c r="AR10" s="5">
        <f t="shared" ref="AR10" si="31">AQ10*0.8</f>
        <v>25.756382003200002</v>
      </c>
      <c r="AS10" s="5">
        <f t="shared" ref="AS10" si="32">AR10*0.8</f>
        <v>20.605105602560002</v>
      </c>
      <c r="AT10" s="5">
        <f t="shared" ref="AT10" si="33">AS10*0.8</f>
        <v>16.484084482048001</v>
      </c>
    </row>
    <row r="11" spans="2:159" x14ac:dyDescent="0.3">
      <c r="B11" t="s">
        <v>29</v>
      </c>
      <c r="C11" s="5">
        <v>-5.6</v>
      </c>
      <c r="D11" s="5">
        <v>1.8</v>
      </c>
      <c r="E11" s="5">
        <v>22.2</v>
      </c>
      <c r="F11" s="5">
        <f>AD11-E11-D11-C11</f>
        <v>110.1</v>
      </c>
      <c r="G11" s="5">
        <v>38.200000000000003</v>
      </c>
      <c r="H11" s="5">
        <v>-4.5999999999999996</v>
      </c>
      <c r="I11" s="5">
        <v>-6.5</v>
      </c>
      <c r="J11" s="5">
        <v>-2.4</v>
      </c>
      <c r="K11" s="5"/>
      <c r="L11" s="5"/>
      <c r="M11" s="5"/>
      <c r="N11" s="5"/>
      <c r="O11" s="5"/>
      <c r="P11" s="5"/>
      <c r="Q11" s="5"/>
      <c r="R11" s="5"/>
      <c r="S11" s="5">
        <v>3.6</v>
      </c>
      <c r="T11" s="5">
        <v>2.2000000000000002</v>
      </c>
      <c r="U11" s="5">
        <v>-29</v>
      </c>
      <c r="V11" s="5">
        <f>AH11-U11-T11-S11</f>
        <v>-0.60000000000000098</v>
      </c>
      <c r="W11" s="5">
        <v>2</v>
      </c>
      <c r="X11" s="5">
        <v>0.7</v>
      </c>
      <c r="Y11" s="5">
        <v>-7.4</v>
      </c>
      <c r="Z11" s="5">
        <v>0</v>
      </c>
      <c r="AC11" s="5">
        <v>59.1</v>
      </c>
      <c r="AD11" s="5">
        <f>68.7+59.8</f>
        <v>128.5</v>
      </c>
      <c r="AE11" s="5">
        <f>SUM(G11:J11)</f>
        <v>24.700000000000003</v>
      </c>
      <c r="AF11" s="5">
        <v>-26.2</v>
      </c>
      <c r="AG11" s="5">
        <v>119.8</v>
      </c>
      <c r="AH11" s="5">
        <v>-23.8</v>
      </c>
      <c r="AI11" s="5">
        <f>SUM(W11:Z11)</f>
        <v>-4.7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</row>
    <row r="12" spans="2:159" s="1" customFormat="1" x14ac:dyDescent="0.3">
      <c r="B12" s="1" t="s">
        <v>30</v>
      </c>
      <c r="C12" s="9">
        <f t="shared" ref="C12:J12" si="34">C8-C9-C10-C11</f>
        <v>85.999999999999773</v>
      </c>
      <c r="D12" s="9">
        <f t="shared" si="34"/>
        <v>530.4000000000002</v>
      </c>
      <c r="E12" s="9">
        <f t="shared" si="34"/>
        <v>539.69999999999982</v>
      </c>
      <c r="F12" s="9">
        <f t="shared" si="34"/>
        <v>-390.19999999999993</v>
      </c>
      <c r="G12" s="9">
        <f t="shared" si="34"/>
        <v>-313.10000000000008</v>
      </c>
      <c r="H12" s="9">
        <f t="shared" si="34"/>
        <v>293.60000000000008</v>
      </c>
      <c r="I12" s="9">
        <f t="shared" si="34"/>
        <v>386.7</v>
      </c>
      <c r="J12" s="9">
        <f t="shared" si="34"/>
        <v>101.59999999999978</v>
      </c>
      <c r="K12" s="9"/>
      <c r="L12" s="9"/>
      <c r="M12" s="9"/>
      <c r="N12" s="9"/>
      <c r="O12" s="9"/>
      <c r="P12" s="9"/>
      <c r="Q12" s="9"/>
      <c r="R12" s="9"/>
      <c r="S12" s="9">
        <f t="shared" ref="S12" si="35">S8-S9-S10-S11</f>
        <v>-62.399999999999686</v>
      </c>
      <c r="T12" s="9">
        <f t="shared" ref="T12" si="36">T8-T9-T10-T11</f>
        <v>307.0999999999998</v>
      </c>
      <c r="U12" s="9">
        <f t="shared" ref="U12:V12" si="37">U8-U9-U10-U11</f>
        <v>-111.40000000000032</v>
      </c>
      <c r="V12" s="9">
        <f t="shared" si="37"/>
        <v>-366.89999999999878</v>
      </c>
      <c r="W12" s="9">
        <f t="shared" ref="W12" si="38">W8-W9-W10-W11</f>
        <v>-297.5</v>
      </c>
      <c r="X12" s="9">
        <f t="shared" ref="X12" si="39">X8-X9-X10-X11</f>
        <v>230.39999999999995</v>
      </c>
      <c r="Y12" s="9">
        <f t="shared" ref="Y12:Z12" si="40">Y8-Y9-Y10-Y11</f>
        <v>196.69999999999996</v>
      </c>
      <c r="Z12" s="9">
        <f t="shared" si="40"/>
        <v>4.291500000000724</v>
      </c>
      <c r="AC12" s="9">
        <f t="shared" ref="AC12:AF12" si="41">AC8-AC9-AC10-AC11</f>
        <v>1038.6999999999991</v>
      </c>
      <c r="AD12" s="9">
        <f t="shared" si="41"/>
        <v>727.30000000000052</v>
      </c>
      <c r="AE12" s="9">
        <f t="shared" si="41"/>
        <v>468.7999999999991</v>
      </c>
      <c r="AF12" s="9">
        <f t="shared" si="41"/>
        <v>1523.3</v>
      </c>
      <c r="AG12" s="9">
        <f t="shared" ref="AG12" si="42">AG8-AG9-AG10-AG11</f>
        <v>43.299999999999827</v>
      </c>
      <c r="AH12" s="9">
        <f t="shared" ref="AH12" si="43">AH8-AH9-AH10-AH11</f>
        <v>-233.59999999999872</v>
      </c>
      <c r="AI12" s="9">
        <f t="shared" ref="AI12" si="44">AI8-AI9-AI10-AI11</f>
        <v>329.89150000000103</v>
      </c>
      <c r="AJ12" s="9">
        <f t="shared" ref="AJ12" si="45">AJ8-AJ9-AJ10-AJ11</f>
        <v>440.0741675000022</v>
      </c>
      <c r="AK12" s="9">
        <f t="shared" ref="AK12" si="46">AK8-AK9-AK10-AK11</f>
        <v>483.88186162150208</v>
      </c>
      <c r="AL12" s="9">
        <f t="shared" ref="AL12" si="47">AL8-AL9-AL10-AL11</f>
        <v>572.32959275704661</v>
      </c>
      <c r="AM12" s="9">
        <f t="shared" ref="AM12" si="48">AM8-AM9-AM10-AM11</f>
        <v>658.39434957974163</v>
      </c>
      <c r="AN12" s="9">
        <f t="shared" ref="AN12" si="49">AN8-AN9-AN10-AN11</f>
        <v>742.29983580133717</v>
      </c>
      <c r="AO12" s="9">
        <f t="shared" ref="AO12:AT12" si="50">AO8-AO9-AO10-AO11</f>
        <v>764.32637531352157</v>
      </c>
      <c r="AP12" s="9">
        <f t="shared" si="50"/>
        <v>782.86426095795503</v>
      </c>
      <c r="AQ12" s="9">
        <f t="shared" si="50"/>
        <v>799.41000120745127</v>
      </c>
      <c r="AR12" s="9">
        <f t="shared" si="50"/>
        <v>814.39230685374775</v>
      </c>
      <c r="AS12" s="9">
        <f t="shared" si="50"/>
        <v>828.14125504327251</v>
      </c>
      <c r="AT12" s="9">
        <f t="shared" si="50"/>
        <v>840.92086289374333</v>
      </c>
    </row>
    <row r="13" spans="2:159" x14ac:dyDescent="0.3">
      <c r="B13" t="s">
        <v>31</v>
      </c>
      <c r="C13" s="5">
        <v>20.7</v>
      </c>
      <c r="D13" s="5">
        <v>-95</v>
      </c>
      <c r="E13" s="5">
        <v>87.1</v>
      </c>
      <c r="F13" s="5">
        <v>20.7</v>
      </c>
      <c r="G13" s="5">
        <v>-35.200000000000003</v>
      </c>
      <c r="H13" s="5">
        <v>50.4</v>
      </c>
      <c r="I13" s="5">
        <v>59.1</v>
      </c>
      <c r="J13" s="5">
        <v>27.3</v>
      </c>
      <c r="K13" s="5"/>
      <c r="L13" s="5"/>
      <c r="M13" s="5"/>
      <c r="N13" s="5"/>
      <c r="O13" s="5"/>
      <c r="P13" s="5"/>
      <c r="Q13" s="5"/>
      <c r="R13" s="5"/>
      <c r="S13" s="5">
        <v>-4.9000000000000004</v>
      </c>
      <c r="T13" s="5">
        <v>758.9</v>
      </c>
      <c r="U13" s="5">
        <v>-19.600000000000001</v>
      </c>
      <c r="V13" s="5">
        <f>AH13-U13-T13-S13</f>
        <v>0.8000000000000913</v>
      </c>
      <c r="W13" s="5">
        <v>-38.6</v>
      </c>
      <c r="X13" s="5">
        <v>28</v>
      </c>
      <c r="Y13" s="5">
        <v>27.6</v>
      </c>
      <c r="Z13" s="5">
        <f>Z12*0.14</f>
        <v>0.60081000000010143</v>
      </c>
      <c r="AC13" s="5">
        <v>167.9</v>
      </c>
      <c r="AD13" s="5">
        <v>98.1</v>
      </c>
      <c r="AE13" s="5">
        <f>SUM(G13:J13)</f>
        <v>101.6</v>
      </c>
      <c r="AF13" s="5">
        <v>307</v>
      </c>
      <c r="AG13" s="5">
        <v>-75.3</v>
      </c>
      <c r="AH13" s="5">
        <v>735.2</v>
      </c>
      <c r="AI13" s="5">
        <f>SUM(W13:Z13)</f>
        <v>17.600810000000102</v>
      </c>
      <c r="AJ13" s="5">
        <f t="shared" ref="AJ13:AO13" si="51">AJ12*0.15</f>
        <v>66.011125125000333</v>
      </c>
      <c r="AK13" s="5">
        <f t="shared" si="51"/>
        <v>72.582279243225315</v>
      </c>
      <c r="AL13" s="5">
        <f t="shared" si="51"/>
        <v>85.849438913556995</v>
      </c>
      <c r="AM13" s="5">
        <f t="shared" si="51"/>
        <v>98.759152436961244</v>
      </c>
      <c r="AN13" s="5">
        <f t="shared" si="51"/>
        <v>111.34497537020057</v>
      </c>
      <c r="AO13" s="5">
        <f t="shared" si="51"/>
        <v>114.64895629702823</v>
      </c>
      <c r="AP13" s="5">
        <f t="shared" ref="AP13:AT13" si="52">AP12*0.15</f>
        <v>117.42963914369325</v>
      </c>
      <c r="AQ13" s="5">
        <f t="shared" si="52"/>
        <v>119.91150018111769</v>
      </c>
      <c r="AR13" s="5">
        <f t="shared" si="52"/>
        <v>122.15884602806216</v>
      </c>
      <c r="AS13" s="5">
        <f t="shared" si="52"/>
        <v>124.22118825649088</v>
      </c>
      <c r="AT13" s="5">
        <f t="shared" si="52"/>
        <v>126.1381294340615</v>
      </c>
    </row>
    <row r="14" spans="2:159" x14ac:dyDescent="0.3">
      <c r="B14" t="s">
        <v>34</v>
      </c>
      <c r="C14" s="5">
        <v>16.100000000000001</v>
      </c>
      <c r="D14" s="5">
        <v>-23.6</v>
      </c>
      <c r="E14" s="5">
        <v>-12.3</v>
      </c>
      <c r="F14" s="5">
        <v>16.100000000000001</v>
      </c>
      <c r="G14" s="5">
        <v>7.9</v>
      </c>
      <c r="H14" s="5">
        <v>-13.5</v>
      </c>
      <c r="I14" s="5">
        <v>-19.600000000000001</v>
      </c>
      <c r="J14" s="5">
        <v>-27.8</v>
      </c>
      <c r="K14" s="5"/>
      <c r="L14" s="5"/>
      <c r="M14" s="5"/>
      <c r="N14" s="5"/>
      <c r="O14" s="5"/>
      <c r="P14" s="5"/>
      <c r="Q14" s="5"/>
      <c r="R14" s="5"/>
      <c r="S14" s="5">
        <v>0</v>
      </c>
      <c r="T14" s="5">
        <v>-0.9</v>
      </c>
      <c r="U14" s="5">
        <v>-49.3</v>
      </c>
      <c r="V14" s="12">
        <f>AH14-U14-T14-S14</f>
        <v>50.199999999999996</v>
      </c>
      <c r="W14" s="5">
        <v>0</v>
      </c>
      <c r="X14" s="5">
        <v>150.30000000000001</v>
      </c>
      <c r="Y14" s="5">
        <v>1.3</v>
      </c>
      <c r="Z14" s="5">
        <v>0</v>
      </c>
      <c r="AC14" s="5">
        <v>-389.4</v>
      </c>
      <c r="AD14" s="5">
        <v>-50.3</v>
      </c>
      <c r="AE14" s="5">
        <f>SUM(G14:J14)</f>
        <v>-53</v>
      </c>
      <c r="AF14" s="12">
        <v>-170.7</v>
      </c>
      <c r="AG14" s="12">
        <v>0</v>
      </c>
      <c r="AH14" s="12">
        <v>0</v>
      </c>
      <c r="AI14" s="5">
        <f>SUM(W14:Z14)</f>
        <v>151.60000000000002</v>
      </c>
      <c r="AJ14" s="5">
        <f t="shared" ref="AJ14:AO14" si="53">AI14*0.98</f>
        <v>148.56800000000001</v>
      </c>
      <c r="AK14" s="5">
        <f t="shared" si="53"/>
        <v>145.59664000000001</v>
      </c>
      <c r="AL14" s="5">
        <f t="shared" si="53"/>
        <v>142.68470719999999</v>
      </c>
      <c r="AM14" s="5">
        <f t="shared" si="53"/>
        <v>139.83101305599999</v>
      </c>
      <c r="AN14" s="5">
        <f t="shared" si="53"/>
        <v>137.03439279487998</v>
      </c>
      <c r="AO14" s="5">
        <f t="shared" si="53"/>
        <v>134.29370493898239</v>
      </c>
      <c r="AP14" s="5">
        <f t="shared" ref="AP14" si="54">AO14*0.98</f>
        <v>131.60783084020272</v>
      </c>
      <c r="AQ14" s="5">
        <f t="shared" ref="AQ14" si="55">AP14*0.98</f>
        <v>128.97567422339867</v>
      </c>
      <c r="AR14" s="5">
        <f t="shared" ref="AR14" si="56">AQ14*0.98</f>
        <v>126.39616073893069</v>
      </c>
      <c r="AS14" s="5">
        <f t="shared" ref="AS14" si="57">AR14*0.98</f>
        <v>123.86823752415208</v>
      </c>
      <c r="AT14" s="5">
        <f t="shared" ref="AT14" si="58">AS14*0.98</f>
        <v>121.39087277366903</v>
      </c>
    </row>
    <row r="15" spans="2:159" s="1" customFormat="1" x14ac:dyDescent="0.3">
      <c r="B15" s="1" t="s">
        <v>32</v>
      </c>
      <c r="C15" s="9">
        <f t="shared" ref="C15:J15" si="59">C12-C13-C14</f>
        <v>49.199999999999768</v>
      </c>
      <c r="D15" s="9">
        <f t="shared" si="59"/>
        <v>649.00000000000023</v>
      </c>
      <c r="E15" s="9">
        <f t="shared" si="59"/>
        <v>464.89999999999981</v>
      </c>
      <c r="F15" s="9">
        <f t="shared" si="59"/>
        <v>-426.99999999999994</v>
      </c>
      <c r="G15" s="9">
        <f t="shared" si="59"/>
        <v>-285.80000000000007</v>
      </c>
      <c r="H15" s="9">
        <f t="shared" si="59"/>
        <v>256.70000000000005</v>
      </c>
      <c r="I15" s="9">
        <f t="shared" si="59"/>
        <v>347.2</v>
      </c>
      <c r="J15" s="9">
        <f t="shared" si="59"/>
        <v>102.09999999999978</v>
      </c>
      <c r="K15" s="9"/>
      <c r="L15" s="9"/>
      <c r="M15" s="9"/>
      <c r="N15" s="9"/>
      <c r="O15" s="9"/>
      <c r="P15" s="9"/>
      <c r="Q15" s="9"/>
      <c r="R15" s="9"/>
      <c r="S15" s="9">
        <f t="shared" ref="S15" si="60">S12-S13-S14</f>
        <v>-57.499999999999687</v>
      </c>
      <c r="T15" s="9">
        <f t="shared" ref="T15" si="61">T12-T13-T14</f>
        <v>-450.9000000000002</v>
      </c>
      <c r="U15" s="9">
        <f t="shared" ref="U15:V15" si="62">U12-U13-U14</f>
        <v>-42.500000000000327</v>
      </c>
      <c r="V15" s="9">
        <f t="shared" si="62"/>
        <v>-417.89999999999884</v>
      </c>
      <c r="W15" s="9">
        <f t="shared" ref="W15" si="63">W12-W13-W14</f>
        <v>-258.89999999999998</v>
      </c>
      <c r="X15" s="9">
        <f t="shared" ref="X15" si="64">X12-X13-X14</f>
        <v>52.099999999999937</v>
      </c>
      <c r="Y15" s="9">
        <f t="shared" ref="Y15:Z15" si="65">Y12-Y13-Y14</f>
        <v>167.79999999999995</v>
      </c>
      <c r="Z15" s="9">
        <f t="shared" si="65"/>
        <v>3.6906900000006226</v>
      </c>
      <c r="AC15" s="9">
        <f t="shared" ref="AC15:AF15" si="66">AC12-AC13-AC14</f>
        <v>1260.1999999999991</v>
      </c>
      <c r="AD15" s="9">
        <f t="shared" si="66"/>
        <v>679.50000000000045</v>
      </c>
      <c r="AE15" s="9">
        <f t="shared" si="66"/>
        <v>420.19999999999914</v>
      </c>
      <c r="AF15" s="9">
        <f t="shared" si="66"/>
        <v>1387</v>
      </c>
      <c r="AG15" s="9">
        <f t="shared" ref="AG15" si="67">AG12-AG13-AG14</f>
        <v>118.59999999999982</v>
      </c>
      <c r="AH15" s="9">
        <f t="shared" ref="AH15" si="68">AH12-AH13-AH14</f>
        <v>-968.79999999999882</v>
      </c>
      <c r="AI15" s="9">
        <f t="shared" ref="AI15" si="69">AI12-AI13-AI14</f>
        <v>160.69069000000093</v>
      </c>
      <c r="AJ15" s="9">
        <f t="shared" ref="AJ15" si="70">AJ12-AJ13-AJ14</f>
        <v>225.49504237500187</v>
      </c>
      <c r="AK15" s="9">
        <f t="shared" ref="AK15" si="71">AK12-AK13-AK14</f>
        <v>265.70294237827682</v>
      </c>
      <c r="AL15" s="9">
        <f t="shared" ref="AL15" si="72">AL12-AL13-AL14</f>
        <v>343.79544664348964</v>
      </c>
      <c r="AM15" s="9">
        <f t="shared" ref="AM15" si="73">AM12-AM13-AM14</f>
        <v>419.80418408678042</v>
      </c>
      <c r="AN15" s="9">
        <f t="shared" ref="AN15" si="74">AN12-AN13-AN14</f>
        <v>493.9204676362566</v>
      </c>
      <c r="AO15" s="9">
        <f t="shared" ref="AO15:AT15" si="75">AO12-AO13-AO14</f>
        <v>515.38371407751094</v>
      </c>
      <c r="AP15" s="9">
        <f t="shared" si="75"/>
        <v>533.82679097405901</v>
      </c>
      <c r="AQ15" s="9">
        <f t="shared" si="75"/>
        <v>550.5228268029349</v>
      </c>
      <c r="AR15" s="9">
        <f t="shared" si="75"/>
        <v>565.83730008675491</v>
      </c>
      <c r="AS15" s="9">
        <f t="shared" si="75"/>
        <v>580.05182926262955</v>
      </c>
      <c r="AT15" s="9">
        <f t="shared" si="75"/>
        <v>593.39186068601282</v>
      </c>
      <c r="AU15" s="1">
        <f>AT15*(1+$AW$21)</f>
        <v>587.45794207915264</v>
      </c>
      <c r="AV15" s="1">
        <f t="shared" ref="AV15:DG15" si="76">AU15*(1+$AW$21)</f>
        <v>581.58336265836112</v>
      </c>
      <c r="AW15" s="1">
        <f t="shared" si="76"/>
        <v>575.76752903177749</v>
      </c>
      <c r="AX15" s="1">
        <f t="shared" si="76"/>
        <v>570.00985374145966</v>
      </c>
      <c r="AY15" s="1">
        <f t="shared" si="76"/>
        <v>564.30975520404502</v>
      </c>
      <c r="AZ15" s="1">
        <f t="shared" si="76"/>
        <v>558.66665765200457</v>
      </c>
      <c r="BA15" s="1">
        <f t="shared" si="76"/>
        <v>553.07999107548449</v>
      </c>
      <c r="BB15" s="1">
        <f t="shared" si="76"/>
        <v>547.54919116472968</v>
      </c>
      <c r="BC15" s="1">
        <f t="shared" si="76"/>
        <v>542.0736992530824</v>
      </c>
      <c r="BD15" s="1">
        <f t="shared" si="76"/>
        <v>536.65296226055159</v>
      </c>
      <c r="BE15" s="1">
        <f t="shared" si="76"/>
        <v>531.28643263794606</v>
      </c>
      <c r="BF15" s="1">
        <f t="shared" si="76"/>
        <v>525.97356831156662</v>
      </c>
      <c r="BG15" s="1">
        <f t="shared" si="76"/>
        <v>520.71383262845097</v>
      </c>
      <c r="BH15" s="1">
        <f t="shared" si="76"/>
        <v>515.50669430216647</v>
      </c>
      <c r="BI15" s="1">
        <f t="shared" si="76"/>
        <v>510.3516273591448</v>
      </c>
      <c r="BJ15" s="1">
        <f t="shared" si="76"/>
        <v>505.24811108555338</v>
      </c>
      <c r="BK15" s="1">
        <f t="shared" si="76"/>
        <v>500.19562997469785</v>
      </c>
      <c r="BL15" s="1">
        <f t="shared" si="76"/>
        <v>495.19367367495084</v>
      </c>
      <c r="BM15" s="1">
        <f t="shared" si="76"/>
        <v>490.24173693820131</v>
      </c>
      <c r="BN15" s="1">
        <f t="shared" si="76"/>
        <v>485.33931956881929</v>
      </c>
      <c r="BO15" s="1">
        <f t="shared" si="76"/>
        <v>480.48592637313112</v>
      </c>
      <c r="BP15" s="1">
        <f t="shared" si="76"/>
        <v>475.68106710939981</v>
      </c>
      <c r="BQ15" s="1">
        <f t="shared" si="76"/>
        <v>470.9242564383058</v>
      </c>
      <c r="BR15" s="1">
        <f t="shared" si="76"/>
        <v>466.21501387392271</v>
      </c>
      <c r="BS15" s="1">
        <f t="shared" si="76"/>
        <v>461.55286373518351</v>
      </c>
      <c r="BT15" s="1">
        <f t="shared" si="76"/>
        <v>456.93733509783169</v>
      </c>
      <c r="BU15" s="1">
        <f t="shared" si="76"/>
        <v>452.36796174685338</v>
      </c>
      <c r="BV15" s="1">
        <f t="shared" si="76"/>
        <v>447.84428212938485</v>
      </c>
      <c r="BW15" s="1">
        <f t="shared" si="76"/>
        <v>443.36583930809098</v>
      </c>
      <c r="BX15" s="1">
        <f t="shared" si="76"/>
        <v>438.93218091501006</v>
      </c>
      <c r="BY15" s="1">
        <f t="shared" si="76"/>
        <v>434.54285910585997</v>
      </c>
      <c r="BZ15" s="1">
        <f t="shared" si="76"/>
        <v>430.1974305148014</v>
      </c>
      <c r="CA15" s="1">
        <f t="shared" si="76"/>
        <v>425.89545620965339</v>
      </c>
      <c r="CB15" s="1">
        <f t="shared" si="76"/>
        <v>421.63650164755683</v>
      </c>
      <c r="CC15" s="1">
        <f t="shared" si="76"/>
        <v>417.42013663108128</v>
      </c>
      <c r="CD15" s="1">
        <f t="shared" si="76"/>
        <v>413.24593526477048</v>
      </c>
      <c r="CE15" s="1">
        <f t="shared" si="76"/>
        <v>409.11347591212279</v>
      </c>
      <c r="CF15" s="1">
        <f t="shared" si="76"/>
        <v>405.02234115300155</v>
      </c>
      <c r="CG15" s="1">
        <f t="shared" si="76"/>
        <v>400.97211774147155</v>
      </c>
      <c r="CH15" s="1">
        <f t="shared" si="76"/>
        <v>396.9623965640568</v>
      </c>
      <c r="CI15" s="1">
        <f t="shared" si="76"/>
        <v>392.99277259841625</v>
      </c>
      <c r="CJ15" s="1">
        <f t="shared" si="76"/>
        <v>389.06284487243209</v>
      </c>
      <c r="CK15" s="1">
        <f t="shared" si="76"/>
        <v>385.17221642370777</v>
      </c>
      <c r="CL15" s="1">
        <f t="shared" si="76"/>
        <v>381.32049425947071</v>
      </c>
      <c r="CM15" s="1">
        <f t="shared" si="76"/>
        <v>377.50728931687598</v>
      </c>
      <c r="CN15" s="1">
        <f t="shared" si="76"/>
        <v>373.7322164237072</v>
      </c>
      <c r="CO15" s="1">
        <f t="shared" si="76"/>
        <v>369.99489425947013</v>
      </c>
      <c r="CP15" s="1">
        <f t="shared" si="76"/>
        <v>366.29494531687544</v>
      </c>
      <c r="CQ15" s="1">
        <f t="shared" si="76"/>
        <v>362.63199586370666</v>
      </c>
      <c r="CR15" s="1">
        <f t="shared" si="76"/>
        <v>359.00567590506961</v>
      </c>
      <c r="CS15" s="1">
        <f t="shared" si="76"/>
        <v>355.41561914601891</v>
      </c>
      <c r="CT15" s="1">
        <f t="shared" si="76"/>
        <v>351.8614629545587</v>
      </c>
      <c r="CU15" s="1">
        <f t="shared" si="76"/>
        <v>348.34284832501311</v>
      </c>
      <c r="CV15" s="1">
        <f t="shared" si="76"/>
        <v>344.85941984176299</v>
      </c>
      <c r="CW15" s="1">
        <f t="shared" si="76"/>
        <v>341.41082564334533</v>
      </c>
      <c r="CX15" s="1">
        <f t="shared" si="76"/>
        <v>337.99671738691188</v>
      </c>
      <c r="CY15" s="1">
        <f t="shared" si="76"/>
        <v>334.61675021304274</v>
      </c>
      <c r="CZ15" s="1">
        <f t="shared" si="76"/>
        <v>331.27058271091232</v>
      </c>
      <c r="DA15" s="1">
        <f t="shared" si="76"/>
        <v>327.95787688380318</v>
      </c>
      <c r="DB15" s="1">
        <f t="shared" si="76"/>
        <v>324.67829811496517</v>
      </c>
      <c r="DC15" s="1">
        <f t="shared" si="76"/>
        <v>321.43151513381554</v>
      </c>
      <c r="DD15" s="1">
        <f t="shared" si="76"/>
        <v>318.21719998247738</v>
      </c>
      <c r="DE15" s="1">
        <f t="shared" si="76"/>
        <v>315.03502798265259</v>
      </c>
      <c r="DF15" s="1">
        <f t="shared" si="76"/>
        <v>311.88467770282608</v>
      </c>
      <c r="DG15" s="1">
        <f t="shared" si="76"/>
        <v>308.76583092579784</v>
      </c>
      <c r="DH15" s="1">
        <f t="shared" ref="DH15:FC15" si="77">DG15*(1+$AW$21)</f>
        <v>305.67817261653988</v>
      </c>
      <c r="DI15" s="1">
        <f t="shared" si="77"/>
        <v>302.62139089037447</v>
      </c>
      <c r="DJ15" s="1">
        <f t="shared" si="77"/>
        <v>299.59517698147073</v>
      </c>
      <c r="DK15" s="1">
        <f t="shared" si="77"/>
        <v>296.59922521165601</v>
      </c>
      <c r="DL15" s="1">
        <f t="shared" si="77"/>
        <v>293.63323295953944</v>
      </c>
      <c r="DM15" s="1">
        <f t="shared" si="77"/>
        <v>290.69690062994403</v>
      </c>
      <c r="DN15" s="1">
        <f t="shared" si="77"/>
        <v>287.78993162364458</v>
      </c>
      <c r="DO15" s="1">
        <f t="shared" si="77"/>
        <v>284.91203230740814</v>
      </c>
      <c r="DP15" s="1">
        <f t="shared" si="77"/>
        <v>282.06291198433405</v>
      </c>
      <c r="DQ15" s="1">
        <f t="shared" si="77"/>
        <v>279.24228286449073</v>
      </c>
      <c r="DR15" s="1">
        <f t="shared" si="77"/>
        <v>276.4498600358458</v>
      </c>
      <c r="DS15" s="1">
        <f t="shared" si="77"/>
        <v>273.68536143548732</v>
      </c>
      <c r="DT15" s="1">
        <f t="shared" si="77"/>
        <v>270.94850782113247</v>
      </c>
      <c r="DU15" s="1">
        <f t="shared" si="77"/>
        <v>268.23902274292112</v>
      </c>
      <c r="DV15" s="1">
        <f t="shared" si="77"/>
        <v>265.55663251549191</v>
      </c>
      <c r="DW15" s="1">
        <f t="shared" si="77"/>
        <v>262.90106619033702</v>
      </c>
      <c r="DX15" s="1">
        <f t="shared" si="77"/>
        <v>260.27205552843367</v>
      </c>
      <c r="DY15" s="1">
        <f t="shared" si="77"/>
        <v>257.66933497314932</v>
      </c>
      <c r="DZ15" s="1">
        <f t="shared" si="77"/>
        <v>255.09264162341782</v>
      </c>
      <c r="EA15" s="1">
        <f t="shared" si="77"/>
        <v>252.54171520718364</v>
      </c>
      <c r="EB15" s="1">
        <f t="shared" si="77"/>
        <v>250.0162980551118</v>
      </c>
      <c r="EC15" s="1">
        <f t="shared" si="77"/>
        <v>247.51613507456068</v>
      </c>
      <c r="ED15" s="1">
        <f t="shared" si="77"/>
        <v>245.04097372381506</v>
      </c>
      <c r="EE15" s="1">
        <f t="shared" si="77"/>
        <v>242.59056398657691</v>
      </c>
      <c r="EF15" s="1">
        <f t="shared" si="77"/>
        <v>240.16465834671115</v>
      </c>
      <c r="EG15" s="1">
        <f t="shared" si="77"/>
        <v>237.76301176324404</v>
      </c>
      <c r="EH15" s="1">
        <f t="shared" si="77"/>
        <v>235.3853816456116</v>
      </c>
      <c r="EI15" s="1">
        <f t="shared" si="77"/>
        <v>233.03152782915549</v>
      </c>
      <c r="EJ15" s="1">
        <f t="shared" si="77"/>
        <v>230.70121255086394</v>
      </c>
      <c r="EK15" s="1">
        <f t="shared" si="77"/>
        <v>228.39420042535531</v>
      </c>
      <c r="EL15" s="1">
        <f t="shared" si="77"/>
        <v>226.11025842110175</v>
      </c>
      <c r="EM15" s="1">
        <f t="shared" si="77"/>
        <v>223.84915583689073</v>
      </c>
      <c r="EN15" s="1">
        <f t="shared" si="77"/>
        <v>221.61066427852182</v>
      </c>
      <c r="EO15" s="1">
        <f t="shared" si="77"/>
        <v>219.39455763573662</v>
      </c>
      <c r="EP15" s="1">
        <f t="shared" si="77"/>
        <v>217.20061205937924</v>
      </c>
      <c r="EQ15" s="1">
        <f t="shared" si="77"/>
        <v>215.02860593878543</v>
      </c>
      <c r="ER15" s="1">
        <f t="shared" si="77"/>
        <v>212.87831987939757</v>
      </c>
      <c r="ES15" s="1">
        <f t="shared" si="77"/>
        <v>210.7495366806036</v>
      </c>
      <c r="ET15" s="1">
        <f t="shared" si="77"/>
        <v>208.64204131379756</v>
      </c>
      <c r="EU15" s="1">
        <f t="shared" si="77"/>
        <v>206.55562090065959</v>
      </c>
      <c r="EV15" s="1">
        <f t="shared" si="77"/>
        <v>204.490064691653</v>
      </c>
      <c r="EW15" s="1">
        <f t="shared" si="77"/>
        <v>202.44516404473646</v>
      </c>
      <c r="EX15" s="1">
        <f t="shared" si="77"/>
        <v>200.42071240428911</v>
      </c>
      <c r="EY15" s="1">
        <f t="shared" si="77"/>
        <v>198.41650528024621</v>
      </c>
      <c r="EZ15" s="1">
        <f t="shared" si="77"/>
        <v>196.43234022744375</v>
      </c>
      <c r="FA15" s="1">
        <f t="shared" si="77"/>
        <v>194.46801682516931</v>
      </c>
      <c r="FB15" s="1">
        <f t="shared" si="77"/>
        <v>192.52333665691762</v>
      </c>
      <c r="FC15" s="1">
        <f t="shared" si="77"/>
        <v>190.59810329034843</v>
      </c>
    </row>
    <row r="16" spans="2:159" x14ac:dyDescent="0.3">
      <c r="B16" t="s">
        <v>2</v>
      </c>
      <c r="C16" s="5">
        <v>391.7</v>
      </c>
      <c r="D16" s="5">
        <v>391.7</v>
      </c>
      <c r="E16" s="5">
        <v>391.7</v>
      </c>
      <c r="F16" s="5">
        <v>391.7</v>
      </c>
      <c r="G16" s="5">
        <v>391.7</v>
      </c>
      <c r="H16" s="5">
        <v>391.7</v>
      </c>
      <c r="I16" s="5">
        <v>391.7</v>
      </c>
      <c r="J16" s="5">
        <v>391.7</v>
      </c>
      <c r="K16" s="5"/>
      <c r="L16" s="5"/>
      <c r="M16" s="5"/>
      <c r="N16" s="5"/>
      <c r="O16" s="5"/>
      <c r="P16" s="5"/>
      <c r="Q16" s="5"/>
      <c r="R16" s="5"/>
      <c r="S16" s="5">
        <v>391.7</v>
      </c>
      <c r="T16" s="5">
        <v>391.7</v>
      </c>
      <c r="U16" s="5">
        <v>391.7</v>
      </c>
      <c r="V16" s="5">
        <v>391.7</v>
      </c>
      <c r="W16" s="5">
        <v>391.7</v>
      </c>
      <c r="X16" s="5">
        <v>391.7</v>
      </c>
      <c r="Y16" s="5">
        <v>391.7</v>
      </c>
      <c r="Z16" s="5">
        <v>391.7</v>
      </c>
      <c r="AC16" s="5">
        <v>391.7</v>
      </c>
      <c r="AD16" s="5">
        <v>391.7</v>
      </c>
      <c r="AE16" s="5">
        <v>391.7</v>
      </c>
      <c r="AF16" s="5">
        <v>391.7</v>
      </c>
      <c r="AG16" s="5">
        <v>391.7</v>
      </c>
      <c r="AH16" s="5">
        <v>391.7</v>
      </c>
      <c r="AI16" s="5">
        <v>391.7</v>
      </c>
      <c r="AJ16" s="5">
        <v>391.7</v>
      </c>
      <c r="AK16" s="5">
        <v>391.7</v>
      </c>
      <c r="AL16" s="5">
        <v>391.7</v>
      </c>
      <c r="AM16" s="5">
        <v>391.7</v>
      </c>
      <c r="AN16" s="5">
        <v>391.7</v>
      </c>
      <c r="AO16" s="5">
        <v>391.7</v>
      </c>
      <c r="AP16" s="5">
        <v>391.7</v>
      </c>
      <c r="AQ16" s="5">
        <v>391.7</v>
      </c>
      <c r="AR16" s="5">
        <v>391.7</v>
      </c>
      <c r="AS16" s="5">
        <v>391.7</v>
      </c>
      <c r="AT16" s="5">
        <v>391.7</v>
      </c>
    </row>
    <row r="17" spans="2:49" s="1" customFormat="1" x14ac:dyDescent="0.3">
      <c r="B17" s="1" t="s">
        <v>33</v>
      </c>
      <c r="C17" s="8">
        <f t="shared" ref="C17:J17" si="78">C15/C16</f>
        <v>0.12560633137605251</v>
      </c>
      <c r="D17" s="8">
        <f t="shared" si="78"/>
        <v>1.6568802655093189</v>
      </c>
      <c r="E17" s="8">
        <f t="shared" si="78"/>
        <v>1.1868777125351029</v>
      </c>
      <c r="F17" s="8">
        <f t="shared" si="78"/>
        <v>-1.0901199897881031</v>
      </c>
      <c r="G17" s="8">
        <f t="shared" si="78"/>
        <v>-0.72964003063569083</v>
      </c>
      <c r="H17" s="8">
        <f t="shared" si="78"/>
        <v>0.65534848098034226</v>
      </c>
      <c r="I17" s="8">
        <f t="shared" si="78"/>
        <v>0.88639264743426094</v>
      </c>
      <c r="J17" s="8">
        <f t="shared" si="78"/>
        <v>0.26065866734745924</v>
      </c>
      <c r="K17" s="8"/>
      <c r="L17" s="8"/>
      <c r="M17" s="8"/>
      <c r="N17" s="8"/>
      <c r="O17" s="8"/>
      <c r="P17" s="8"/>
      <c r="Q17" s="8"/>
      <c r="R17" s="8"/>
      <c r="S17" s="8">
        <f t="shared" ref="S17" si="79">S15/S16</f>
        <v>-0.14679601736022388</v>
      </c>
      <c r="T17" s="8">
        <f t="shared" ref="T17" si="80">T15/T16</f>
        <v>-1.1511360735256579</v>
      </c>
      <c r="U17" s="8">
        <f t="shared" ref="U17:V17" si="81">U15/U16</f>
        <v>-0.10850140413581906</v>
      </c>
      <c r="V17" s="8">
        <f t="shared" si="81"/>
        <v>-1.0668879244319602</v>
      </c>
      <c r="W17" s="8">
        <f t="shared" ref="W17" si="82">W15/W16</f>
        <v>-0.66096502425325498</v>
      </c>
      <c r="X17" s="8">
        <f t="shared" ref="X17" si="83">X15/X16</f>
        <v>0.13300995659943818</v>
      </c>
      <c r="Y17" s="8">
        <f t="shared" ref="Y17:Z17" si="84">Y15/Y16</f>
        <v>0.42838907327035985</v>
      </c>
      <c r="Z17" s="8">
        <f t="shared" si="84"/>
        <v>9.4222364054138957E-3</v>
      </c>
      <c r="AC17" s="8">
        <f t="shared" ref="AC17:AF17" si="85">AC15/AC16</f>
        <v>3.2172581056931304</v>
      </c>
      <c r="AD17" s="8">
        <f t="shared" si="85"/>
        <v>1.7347459790656126</v>
      </c>
      <c r="AE17" s="8">
        <f t="shared" si="85"/>
        <v>1.0727597651263701</v>
      </c>
      <c r="AF17" s="8">
        <f t="shared" si="85"/>
        <v>3.540975236150115</v>
      </c>
      <c r="AG17" s="8">
        <f t="shared" ref="AG17" si="86">AG15/AG16</f>
        <v>0.30278274189430643</v>
      </c>
      <c r="AH17" s="8">
        <f t="shared" ref="AH17" si="87">AH15/AH16</f>
        <v>-2.4733214194536606</v>
      </c>
      <c r="AI17" s="8">
        <f t="shared" ref="AI17" si="88">AI15/AI16</f>
        <v>0.41023918815420202</v>
      </c>
      <c r="AJ17" s="8">
        <f t="shared" ref="AJ17" si="89">AJ15/AJ16</f>
        <v>0.57568302878478905</v>
      </c>
      <c r="AK17" s="8">
        <f t="shared" ref="AK17" si="90">AK15/AK16</f>
        <v>0.67833276073085735</v>
      </c>
      <c r="AL17" s="8">
        <f t="shared" ref="AL17" si="91">AL15/AL16</f>
        <v>0.87770091050163301</v>
      </c>
      <c r="AM17" s="8">
        <f t="shared" ref="AM17" si="92">AM15/AM16</f>
        <v>1.0717492573060516</v>
      </c>
      <c r="AN17" s="8">
        <f t="shared" ref="AN17" si="93">AN15/AN16</f>
        <v>1.2609662181165602</v>
      </c>
      <c r="AO17" s="8">
        <f t="shared" ref="AO17:AT17" si="94">AO15/AO16</f>
        <v>1.3157613328504236</v>
      </c>
      <c r="AP17" s="8">
        <f t="shared" si="94"/>
        <v>1.3628460326118432</v>
      </c>
      <c r="AQ17" s="8">
        <f t="shared" si="94"/>
        <v>1.405470581575019</v>
      </c>
      <c r="AR17" s="8">
        <f t="shared" si="94"/>
        <v>1.4445680369843117</v>
      </c>
      <c r="AS17" s="8">
        <f t="shared" si="94"/>
        <v>1.4808573634481226</v>
      </c>
      <c r="AT17" s="8">
        <f t="shared" si="94"/>
        <v>1.5149141196987819</v>
      </c>
    </row>
    <row r="19" spans="2:49" x14ac:dyDescent="0.3">
      <c r="B19" s="1" t="s">
        <v>36</v>
      </c>
      <c r="G19" s="10">
        <f t="shared" ref="G19:N19" si="95">G3/C3-1</f>
        <v>-0.47515482518164531</v>
      </c>
      <c r="H19" s="10">
        <f t="shared" si="95"/>
        <v>-0.17972828479778602</v>
      </c>
      <c r="I19" s="10">
        <f t="shared" si="95"/>
        <v>-0.12207876621266278</v>
      </c>
      <c r="J19" s="10">
        <f t="shared" si="95"/>
        <v>0.22845319634703176</v>
      </c>
      <c r="K19" s="10">
        <f t="shared" si="95"/>
        <v>-1</v>
      </c>
      <c r="L19" s="10">
        <f t="shared" si="95"/>
        <v>-1</v>
      </c>
      <c r="M19" s="10">
        <f t="shared" si="95"/>
        <v>-1</v>
      </c>
      <c r="N19" s="10">
        <f t="shared" si="95"/>
        <v>-1</v>
      </c>
      <c r="O19" s="10" t="e">
        <f t="shared" ref="O19:Z19" si="96">O3/K3-1</f>
        <v>#DIV/0!</v>
      </c>
      <c r="P19" s="10" t="e">
        <f t="shared" si="96"/>
        <v>#DIV/0!</v>
      </c>
      <c r="Q19" s="10" t="e">
        <f t="shared" si="96"/>
        <v>#DIV/0!</v>
      </c>
      <c r="R19" s="10" t="e">
        <f t="shared" si="96"/>
        <v>#DIV/0!</v>
      </c>
      <c r="S19" s="10" t="e">
        <f t="shared" si="96"/>
        <v>#DIV/0!</v>
      </c>
      <c r="T19" s="10" t="e">
        <f t="shared" si="96"/>
        <v>#DIV/0!</v>
      </c>
      <c r="U19" s="10" t="e">
        <f t="shared" si="96"/>
        <v>#DIV/0!</v>
      </c>
      <c r="V19" s="10" t="e">
        <f t="shared" si="96"/>
        <v>#DIV/0!</v>
      </c>
      <c r="W19" s="10">
        <f t="shared" si="96"/>
        <v>-8.5797823898768222E-2</v>
      </c>
      <c r="X19" s="10">
        <f t="shared" si="96"/>
        <v>-5.5546042943734775E-2</v>
      </c>
      <c r="Y19" s="10">
        <f t="shared" si="96"/>
        <v>1.9315157182936638E-2</v>
      </c>
      <c r="Z19" s="10">
        <f t="shared" si="96"/>
        <v>3.0000000000000027E-2</v>
      </c>
      <c r="AC19" s="10"/>
      <c r="AD19" s="10">
        <f t="shared" ref="AD19:AT19" si="97">AD3/AC3-1</f>
        <v>2.159366507904048E-2</v>
      </c>
      <c r="AE19" s="10">
        <f t="shared" si="97"/>
        <v>-0.11915794290944459</v>
      </c>
      <c r="AF19" s="10">
        <f t="shared" si="97"/>
        <v>0.28174654717062819</v>
      </c>
      <c r="AG19" s="10">
        <f t="shared" si="97"/>
        <v>-1.9363610261953323E-2</v>
      </c>
      <c r="AH19" s="10">
        <f t="shared" si="97"/>
        <v>-9.9702906350914944E-2</v>
      </c>
      <c r="AI19" s="10">
        <f t="shared" si="97"/>
        <v>-1.9843419705969367E-2</v>
      </c>
      <c r="AJ19" s="10">
        <f t="shared" si="97"/>
        <v>3.0000000000000027E-2</v>
      </c>
      <c r="AK19" s="10">
        <f t="shared" si="97"/>
        <v>2.0000000000000018E-2</v>
      </c>
      <c r="AL19" s="10">
        <f t="shared" si="97"/>
        <v>2.0000000000000018E-2</v>
      </c>
      <c r="AM19" s="10">
        <f t="shared" si="97"/>
        <v>2.0000000000000018E-2</v>
      </c>
      <c r="AN19" s="10">
        <f t="shared" si="97"/>
        <v>2.0000000000000018E-2</v>
      </c>
      <c r="AO19" s="10">
        <f t="shared" si="97"/>
        <v>1.0000000000000009E-2</v>
      </c>
      <c r="AP19" s="10">
        <f t="shared" si="97"/>
        <v>1.0000000000000009E-2</v>
      </c>
      <c r="AQ19" s="10">
        <f t="shared" si="97"/>
        <v>1.0000000000000009E-2</v>
      </c>
      <c r="AR19" s="10">
        <f t="shared" si="97"/>
        <v>1.0000000000000009E-2</v>
      </c>
      <c r="AS19" s="10">
        <f t="shared" si="97"/>
        <v>1.0000000000000009E-2</v>
      </c>
      <c r="AT19" s="10">
        <f t="shared" si="97"/>
        <v>1.0000000000000009E-2</v>
      </c>
    </row>
    <row r="20" spans="2:49" x14ac:dyDescent="0.3">
      <c r="B20" s="1" t="s">
        <v>37</v>
      </c>
      <c r="C20" s="10">
        <f t="shared" ref="C20:N20" si="98">C5/C3</f>
        <v>0.56292973131125956</v>
      </c>
      <c r="D20" s="10">
        <f t="shared" si="98"/>
        <v>0.54201522108308697</v>
      </c>
      <c r="E20" s="10">
        <f t="shared" si="98"/>
        <v>0.55668153750701688</v>
      </c>
      <c r="F20" s="10">
        <f t="shared" si="98"/>
        <v>0.53086948249619492</v>
      </c>
      <c r="G20" s="10">
        <f t="shared" si="98"/>
        <v>0.52894174486667289</v>
      </c>
      <c r="H20" s="10">
        <f t="shared" si="98"/>
        <v>0.50833876471264805</v>
      </c>
      <c r="I20" s="10">
        <f t="shared" si="98"/>
        <v>0.54736664984014805</v>
      </c>
      <c r="J20" s="10">
        <f t="shared" si="98"/>
        <v>0.5212761838386184</v>
      </c>
      <c r="K20" s="10" t="e">
        <f t="shared" si="98"/>
        <v>#DIV/0!</v>
      </c>
      <c r="L20" s="10" t="e">
        <f t="shared" si="98"/>
        <v>#DIV/0!</v>
      </c>
      <c r="M20" s="10" t="e">
        <f t="shared" si="98"/>
        <v>#DIV/0!</v>
      </c>
      <c r="N20" s="10" t="e">
        <f t="shared" si="98"/>
        <v>#DIV/0!</v>
      </c>
      <c r="O20" s="10" t="e">
        <f t="shared" ref="O20:Z20" si="99">O5/O3</f>
        <v>#DIV/0!</v>
      </c>
      <c r="P20" s="10" t="e">
        <f t="shared" si="99"/>
        <v>#DIV/0!</v>
      </c>
      <c r="Q20" s="10" t="e">
        <f t="shared" si="99"/>
        <v>#DIV/0!</v>
      </c>
      <c r="R20" s="10" t="e">
        <f t="shared" si="99"/>
        <v>#DIV/0!</v>
      </c>
      <c r="S20" s="10">
        <f t="shared" si="99"/>
        <v>0.52772851459521652</v>
      </c>
      <c r="T20" s="10">
        <f t="shared" si="99"/>
        <v>0.51022225266258003</v>
      </c>
      <c r="U20" s="10">
        <f t="shared" si="99"/>
        <v>0.54636357096611754</v>
      </c>
      <c r="V20" s="10">
        <f t="shared" si="99"/>
        <v>0.49750758967055231</v>
      </c>
      <c r="W20" s="10">
        <f t="shared" si="99"/>
        <v>0.51994966706863099</v>
      </c>
      <c r="X20" s="10">
        <f t="shared" si="99"/>
        <v>0.522317705500562</v>
      </c>
      <c r="Y20" s="10">
        <f t="shared" si="99"/>
        <v>0.56289918486890855</v>
      </c>
      <c r="Z20" s="10">
        <f t="shared" si="99"/>
        <v>0.5</v>
      </c>
      <c r="AC20" s="10">
        <f t="shared" ref="AC20:AT20" si="100">AC5/AC3</f>
        <v>0.54647459310989677</v>
      </c>
      <c r="AD20" s="10">
        <f t="shared" si="100"/>
        <v>0.55280018305588929</v>
      </c>
      <c r="AE20" s="10">
        <f t="shared" si="100"/>
        <v>0.52690825648352591</v>
      </c>
      <c r="AF20" s="10">
        <f t="shared" si="100"/>
        <v>0.5451367190798696</v>
      </c>
      <c r="AG20" s="10">
        <f t="shared" si="100"/>
        <v>0.52501184068891282</v>
      </c>
      <c r="AH20" s="10">
        <f t="shared" si="100"/>
        <v>0.52008187705051323</v>
      </c>
      <c r="AI20" s="10">
        <f t="shared" si="100"/>
        <v>0.52711461024199391</v>
      </c>
      <c r="AJ20" s="10">
        <f t="shared" si="100"/>
        <v>0.53</v>
      </c>
      <c r="AK20" s="10">
        <f t="shared" si="100"/>
        <v>0.53</v>
      </c>
      <c r="AL20" s="10">
        <f t="shared" si="100"/>
        <v>0.53</v>
      </c>
      <c r="AM20" s="10">
        <f t="shared" si="100"/>
        <v>0.53</v>
      </c>
      <c r="AN20" s="10">
        <f t="shared" si="100"/>
        <v>0.53</v>
      </c>
      <c r="AO20" s="10">
        <f t="shared" si="100"/>
        <v>0.53</v>
      </c>
      <c r="AP20" s="10">
        <f t="shared" si="100"/>
        <v>0.53</v>
      </c>
      <c r="AQ20" s="10">
        <f t="shared" si="100"/>
        <v>0.53</v>
      </c>
      <c r="AR20" s="10">
        <f t="shared" si="100"/>
        <v>0.53</v>
      </c>
      <c r="AS20" s="10">
        <f t="shared" si="100"/>
        <v>0.53</v>
      </c>
      <c r="AT20" s="10">
        <f t="shared" si="100"/>
        <v>0.53</v>
      </c>
    </row>
    <row r="21" spans="2:49" x14ac:dyDescent="0.3">
      <c r="B21" t="s">
        <v>38</v>
      </c>
      <c r="C21" s="10">
        <f t="shared" ref="C21:N21" si="101">C8/C3</f>
        <v>4.6813283269127509E-2</v>
      </c>
      <c r="D21" s="10">
        <f t="shared" si="101"/>
        <v>0.17252657399836471</v>
      </c>
      <c r="E21" s="10">
        <f t="shared" si="101"/>
        <v>0.17097527107276858</v>
      </c>
      <c r="F21" s="10">
        <f t="shared" si="101"/>
        <v>-0.12214611872146117</v>
      </c>
      <c r="G21" s="10">
        <f t="shared" si="101"/>
        <v>-0.22939700826907006</v>
      </c>
      <c r="H21" s="10">
        <f t="shared" si="101"/>
        <v>0.1226469347851091</v>
      </c>
      <c r="I21" s="10">
        <f t="shared" si="101"/>
        <v>0.13865051320881711</v>
      </c>
      <c r="J21" s="10">
        <f t="shared" si="101"/>
        <v>5.227087931234746E-2</v>
      </c>
      <c r="K21" s="10" t="e">
        <f t="shared" si="101"/>
        <v>#DIV/0!</v>
      </c>
      <c r="L21" s="10" t="e">
        <f t="shared" si="101"/>
        <v>#DIV/0!</v>
      </c>
      <c r="M21" s="10" t="e">
        <f t="shared" si="101"/>
        <v>#DIV/0!</v>
      </c>
      <c r="N21" s="10" t="e">
        <f t="shared" si="101"/>
        <v>#DIV/0!</v>
      </c>
      <c r="O21" s="10" t="e">
        <f t="shared" ref="O21:Z21" si="102">O8/O3</f>
        <v>#DIV/0!</v>
      </c>
      <c r="P21" s="10" t="e">
        <f t="shared" si="102"/>
        <v>#DIV/0!</v>
      </c>
      <c r="Q21" s="10" t="e">
        <f t="shared" si="102"/>
        <v>#DIV/0!</v>
      </c>
      <c r="R21" s="10" t="e">
        <f t="shared" si="102"/>
        <v>#DIV/0!</v>
      </c>
      <c r="S21" s="10">
        <f t="shared" si="102"/>
        <v>-4.3617888127305184E-3</v>
      </c>
      <c r="T21" s="10">
        <f t="shared" si="102"/>
        <v>0.12003013595424807</v>
      </c>
      <c r="U21" s="10">
        <f t="shared" si="102"/>
        <v>-3.2839364074527123E-2</v>
      </c>
      <c r="V21" s="10">
        <f t="shared" si="102"/>
        <v>-0.10648026685656409</v>
      </c>
      <c r="W21" s="10">
        <f t="shared" si="102"/>
        <v>-0.12577989828553451</v>
      </c>
      <c r="X21" s="10">
        <f t="shared" si="102"/>
        <v>9.9278436491533395E-2</v>
      </c>
      <c r="Y21" s="10">
        <f t="shared" si="102"/>
        <v>7.967818201065667E-2</v>
      </c>
      <c r="Z21" s="10">
        <f t="shared" si="102"/>
        <v>1.466135495860321E-2</v>
      </c>
      <c r="AC21" s="10">
        <f t="shared" ref="AC21:AT21" si="103">AC8/AC3</f>
        <v>0.11595515686331796</v>
      </c>
      <c r="AD21" s="10">
        <f t="shared" si="103"/>
        <v>8.8467478977175273E-2</v>
      </c>
      <c r="AE21" s="10">
        <f t="shared" si="103"/>
        <v>6.7108282460925567E-2</v>
      </c>
      <c r="AF21" s="10">
        <f t="shared" si="103"/>
        <v>0.13783377527065141</v>
      </c>
      <c r="AG21" s="10">
        <f t="shared" si="103"/>
        <v>2.8219590958019361E-2</v>
      </c>
      <c r="AH21" s="10">
        <f t="shared" si="103"/>
        <v>-3.2521258381396643E-3</v>
      </c>
      <c r="AI21" s="10">
        <f t="shared" si="103"/>
        <v>4.8402433708266787E-2</v>
      </c>
      <c r="AJ21" s="10">
        <f t="shared" si="103"/>
        <v>5.5935514500581048E-2</v>
      </c>
      <c r="AK21" s="10">
        <f t="shared" si="103"/>
        <v>5.5935514500581034E-2</v>
      </c>
      <c r="AL21" s="10">
        <f t="shared" si="103"/>
        <v>6.0583205534888974E-2</v>
      </c>
      <c r="AM21" s="10">
        <f t="shared" si="103"/>
        <v>6.518533097082152E-2</v>
      </c>
      <c r="AN21" s="10">
        <f t="shared" si="103"/>
        <v>6.9742337529931156E-2</v>
      </c>
      <c r="AO21" s="10">
        <f t="shared" si="103"/>
        <v>6.9742337529931045E-2</v>
      </c>
      <c r="AP21" s="10">
        <f t="shared" si="103"/>
        <v>6.9742337529931087E-2</v>
      </c>
      <c r="AQ21" s="10">
        <f t="shared" si="103"/>
        <v>6.9742337529931184E-2</v>
      </c>
      <c r="AR21" s="10">
        <f t="shared" si="103"/>
        <v>6.9742337529931128E-2</v>
      </c>
      <c r="AS21" s="10">
        <f t="shared" si="103"/>
        <v>6.9742337529931087E-2</v>
      </c>
      <c r="AT21" s="10">
        <f t="shared" si="103"/>
        <v>6.9742337529931114E-2</v>
      </c>
      <c r="AV21" t="s">
        <v>40</v>
      </c>
      <c r="AW21" s="10">
        <v>-0.01</v>
      </c>
    </row>
    <row r="22" spans="2:49" x14ac:dyDescent="0.3">
      <c r="B22" t="s">
        <v>39</v>
      </c>
      <c r="G22" s="10">
        <f t="shared" ref="G22:N22" si="104">G6/C6-1</f>
        <v>-0.22883597883597884</v>
      </c>
      <c r="H22" s="10">
        <f t="shared" si="104"/>
        <v>-0.14375691548216873</v>
      </c>
      <c r="I22" s="10">
        <f t="shared" si="104"/>
        <v>-6.9705093833780207E-2</v>
      </c>
      <c r="J22" s="10">
        <f t="shared" si="104"/>
        <v>-0.11770704348459471</v>
      </c>
      <c r="K22" s="10">
        <f t="shared" si="104"/>
        <v>-1</v>
      </c>
      <c r="L22" s="10">
        <f t="shared" si="104"/>
        <v>-1</v>
      </c>
      <c r="M22" s="10">
        <f t="shared" si="104"/>
        <v>-1</v>
      </c>
      <c r="N22" s="10">
        <f t="shared" si="104"/>
        <v>-1</v>
      </c>
      <c r="O22" s="10" t="e">
        <f t="shared" ref="O22:Z22" si="105">O6/K6-1</f>
        <v>#DIV/0!</v>
      </c>
      <c r="P22" s="10" t="e">
        <f t="shared" si="105"/>
        <v>#DIV/0!</v>
      </c>
      <c r="Q22" s="10" t="e">
        <f t="shared" si="105"/>
        <v>#DIV/0!</v>
      </c>
      <c r="R22" s="10" t="e">
        <f t="shared" si="105"/>
        <v>#DIV/0!</v>
      </c>
      <c r="S22" s="10" t="e">
        <f t="shared" si="105"/>
        <v>#DIV/0!</v>
      </c>
      <c r="T22" s="10" t="e">
        <f t="shared" si="105"/>
        <v>#DIV/0!</v>
      </c>
      <c r="U22" s="10" t="e">
        <f t="shared" si="105"/>
        <v>#DIV/0!</v>
      </c>
      <c r="V22" s="10" t="e">
        <f t="shared" si="105"/>
        <v>#DIV/0!</v>
      </c>
      <c r="W22" s="10">
        <f t="shared" si="105"/>
        <v>-2.1169264030267532E-2</v>
      </c>
      <c r="X22" s="10">
        <f t="shared" si="105"/>
        <v>2.3959978936282322E-2</v>
      </c>
      <c r="Y22" s="10">
        <f t="shared" si="105"/>
        <v>-2.5716819391072954E-2</v>
      </c>
      <c r="Z22" s="10">
        <f t="shared" si="105"/>
        <v>-2.0000000000000018E-2</v>
      </c>
      <c r="AC22" s="10"/>
      <c r="AD22" s="10">
        <f t="shared" ref="AD22:AT22" si="106">AD6/AC6-1</f>
        <v>0.10183027533313704</v>
      </c>
      <c r="AE22" s="10">
        <f t="shared" si="106"/>
        <v>-0.12775656030553162</v>
      </c>
      <c r="AF22" s="10">
        <f t="shared" si="106"/>
        <v>0.1354048964218455</v>
      </c>
      <c r="AG22" s="10">
        <f t="shared" si="106"/>
        <v>4.3705423785038944E-2</v>
      </c>
      <c r="AH22" s="10">
        <f t="shared" si="106"/>
        <v>-1.3965037743345343E-2</v>
      </c>
      <c r="AI22" s="10">
        <f t="shared" si="106"/>
        <v>-1.172915365553906E-2</v>
      </c>
      <c r="AJ22" s="10">
        <f t="shared" si="106"/>
        <v>2.0000000000000018E-2</v>
      </c>
      <c r="AK22" s="10">
        <f t="shared" si="106"/>
        <v>2.0000000000000018E-2</v>
      </c>
      <c r="AL22" s="10">
        <f t="shared" si="106"/>
        <v>1.0000000000000009E-2</v>
      </c>
      <c r="AM22" s="10">
        <f t="shared" si="106"/>
        <v>1.0000000000000009E-2</v>
      </c>
      <c r="AN22" s="10">
        <f t="shared" si="106"/>
        <v>1.0000000000000009E-2</v>
      </c>
      <c r="AO22" s="10">
        <f t="shared" si="106"/>
        <v>1.0000000000000009E-2</v>
      </c>
      <c r="AP22" s="10">
        <f t="shared" si="106"/>
        <v>1.0000000000000009E-2</v>
      </c>
      <c r="AQ22" s="10">
        <f t="shared" si="106"/>
        <v>1.0000000000000009E-2</v>
      </c>
      <c r="AR22" s="10">
        <f t="shared" si="106"/>
        <v>1.0000000000000009E-2</v>
      </c>
      <c r="AS22" s="10">
        <f t="shared" si="106"/>
        <v>1.0000000000000009E-2</v>
      </c>
      <c r="AT22" s="10">
        <f t="shared" si="106"/>
        <v>1.0000000000000009E-2</v>
      </c>
      <c r="AV22" t="s">
        <v>41</v>
      </c>
      <c r="AW22" s="10">
        <v>0.08</v>
      </c>
    </row>
    <row r="23" spans="2:49" x14ac:dyDescent="0.3">
      <c r="B23" t="s">
        <v>31</v>
      </c>
      <c r="C23" s="10">
        <f>C13/C12</f>
        <v>0.24069767441860529</v>
      </c>
      <c r="D23" s="10">
        <f t="shared" ref="D23:N23" si="107">D13/D12</f>
        <v>-0.17911010558069373</v>
      </c>
      <c r="E23" s="10">
        <f t="shared" si="107"/>
        <v>0.16138595516027426</v>
      </c>
      <c r="F23" s="10">
        <f t="shared" si="107"/>
        <v>-5.30497180932855E-2</v>
      </c>
      <c r="G23" s="10">
        <f t="shared" si="107"/>
        <v>0.11242414564037047</v>
      </c>
      <c r="H23" s="10">
        <f t="shared" si="107"/>
        <v>0.17166212534059941</v>
      </c>
      <c r="I23" s="10">
        <f t="shared" si="107"/>
        <v>0.15283165244375485</v>
      </c>
      <c r="J23" s="10">
        <f t="shared" si="107"/>
        <v>0.26870078740157538</v>
      </c>
      <c r="K23" s="10" t="e">
        <f t="shared" si="107"/>
        <v>#DIV/0!</v>
      </c>
      <c r="L23" s="10" t="e">
        <f t="shared" si="107"/>
        <v>#DIV/0!</v>
      </c>
      <c r="M23" s="10" t="e">
        <f t="shared" si="107"/>
        <v>#DIV/0!</v>
      </c>
      <c r="N23" s="10" t="e">
        <f t="shared" si="107"/>
        <v>#DIV/0!</v>
      </c>
      <c r="O23" s="10" t="e">
        <f t="shared" ref="O23:Z23" si="108">O13/O12</f>
        <v>#DIV/0!</v>
      </c>
      <c r="P23" s="10" t="e">
        <f t="shared" si="108"/>
        <v>#DIV/0!</v>
      </c>
      <c r="Q23" s="10" t="e">
        <f t="shared" si="108"/>
        <v>#DIV/0!</v>
      </c>
      <c r="R23" s="10" t="e">
        <f t="shared" si="108"/>
        <v>#DIV/0!</v>
      </c>
      <c r="S23" s="10">
        <f t="shared" si="108"/>
        <v>7.8525641025641427E-2</v>
      </c>
      <c r="T23" s="10">
        <f t="shared" si="108"/>
        <v>2.4711820253988943</v>
      </c>
      <c r="U23" s="10">
        <f t="shared" si="108"/>
        <v>0.17594254937163326</v>
      </c>
      <c r="V23" s="10">
        <f t="shared" si="108"/>
        <v>-2.1804306350506784E-3</v>
      </c>
      <c r="W23" s="10">
        <f t="shared" si="108"/>
        <v>0.12974789915966387</v>
      </c>
      <c r="X23" s="10">
        <f t="shared" si="108"/>
        <v>0.1215277777777778</v>
      </c>
      <c r="Y23" s="10">
        <f t="shared" si="108"/>
        <v>0.1403152008134215</v>
      </c>
      <c r="Z23" s="10">
        <f t="shared" si="108"/>
        <v>0.14000000000000001</v>
      </c>
      <c r="AC23" s="10">
        <f t="shared" ref="AC23:AO23" si="109">AC13/AC12</f>
        <v>0.16164436314624064</v>
      </c>
      <c r="AD23" s="10">
        <f t="shared" si="109"/>
        <v>0.13488244190842832</v>
      </c>
      <c r="AE23" s="10">
        <f t="shared" si="109"/>
        <v>0.216723549488055</v>
      </c>
      <c r="AF23" s="10">
        <f t="shared" si="109"/>
        <v>0.20153613864635989</v>
      </c>
      <c r="AG23" s="10">
        <f t="shared" si="109"/>
        <v>-1.7390300230946951</v>
      </c>
      <c r="AH23" s="10">
        <f t="shared" si="109"/>
        <v>-3.1472602739726203</v>
      </c>
      <c r="AI23" s="10">
        <f t="shared" si="109"/>
        <v>5.3353329806921507E-2</v>
      </c>
      <c r="AJ23" s="10">
        <f t="shared" si="109"/>
        <v>0.15</v>
      </c>
      <c r="AK23" s="10">
        <f t="shared" si="109"/>
        <v>0.15</v>
      </c>
      <c r="AL23" s="10">
        <f t="shared" si="109"/>
        <v>0.15</v>
      </c>
      <c r="AM23" s="10">
        <f t="shared" si="109"/>
        <v>0.15</v>
      </c>
      <c r="AN23" s="10">
        <f t="shared" si="109"/>
        <v>0.15</v>
      </c>
      <c r="AO23" s="10">
        <f t="shared" si="109"/>
        <v>0.15</v>
      </c>
      <c r="AP23" s="10">
        <f t="shared" ref="AP23:AT23" si="110">AP13/AP12</f>
        <v>0.15</v>
      </c>
      <c r="AQ23" s="10">
        <f t="shared" si="110"/>
        <v>0.15</v>
      </c>
      <c r="AR23" s="10">
        <f t="shared" si="110"/>
        <v>0.15</v>
      </c>
      <c r="AS23" s="10">
        <f t="shared" si="110"/>
        <v>0.15</v>
      </c>
      <c r="AT23" s="10">
        <f t="shared" si="110"/>
        <v>0.15</v>
      </c>
      <c r="AV23" t="s">
        <v>42</v>
      </c>
      <c r="AW23" s="5">
        <f>NPV(AW22,AE15:FC15)</f>
        <v>5080.6027896089972</v>
      </c>
    </row>
    <row r="24" spans="2:49" x14ac:dyDescent="0.3">
      <c r="B24" t="s">
        <v>62</v>
      </c>
      <c r="C24" s="10">
        <f>C15/C3</f>
        <v>2.399180767542779E-2</v>
      </c>
      <c r="D24" s="10">
        <f t="shared" ref="D24:Z24" si="111">D15/D3</f>
        <v>0.2041008868482295</v>
      </c>
      <c r="E24" s="10">
        <f t="shared" si="111"/>
        <v>0.13735338434720945</v>
      </c>
      <c r="F24" s="10">
        <f t="shared" si="111"/>
        <v>-0.20310121765601213</v>
      </c>
      <c r="G24" s="10">
        <f t="shared" si="111"/>
        <v>-0.26553934776549298</v>
      </c>
      <c r="H24" s="10">
        <f t="shared" si="111"/>
        <v>9.8416593183299483E-2</v>
      </c>
      <c r="I24" s="10">
        <f t="shared" si="111"/>
        <v>0.11684334511189634</v>
      </c>
      <c r="J24" s="10">
        <f t="shared" si="111"/>
        <v>3.9532272428079059E-2</v>
      </c>
      <c r="K24" s="10" t="e">
        <f t="shared" si="111"/>
        <v>#DIV/0!</v>
      </c>
      <c r="L24" s="10" t="e">
        <f t="shared" si="111"/>
        <v>#DIV/0!</v>
      </c>
      <c r="M24" s="10" t="e">
        <f t="shared" si="111"/>
        <v>#DIV/0!</v>
      </c>
      <c r="N24" s="10" t="e">
        <f t="shared" si="111"/>
        <v>#DIV/0!</v>
      </c>
      <c r="O24" s="10" t="e">
        <f t="shared" si="111"/>
        <v>#DIV/0!</v>
      </c>
      <c r="P24" s="10" t="e">
        <f t="shared" si="111"/>
        <v>#DIV/0!</v>
      </c>
      <c r="Q24" s="10" t="e">
        <f t="shared" si="111"/>
        <v>#DIV/0!</v>
      </c>
      <c r="R24" s="10" t="e">
        <f t="shared" si="111"/>
        <v>#DIV/0!</v>
      </c>
      <c r="S24" s="10">
        <f t="shared" si="111"/>
        <v>-2.7560753487034309E-2</v>
      </c>
      <c r="T24" s="10">
        <f t="shared" si="111"/>
        <v>-0.15441252011917408</v>
      </c>
      <c r="U24" s="10">
        <f t="shared" si="111"/>
        <v>-1.5286670023739417E-2</v>
      </c>
      <c r="V24" s="10">
        <f t="shared" si="111"/>
        <v>-0.15662831228214782</v>
      </c>
      <c r="W24" s="10">
        <f t="shared" si="111"/>
        <v>-0.13574162428563938</v>
      </c>
      <c r="X24" s="10">
        <f t="shared" si="111"/>
        <v>1.8891185322165393E-2</v>
      </c>
      <c r="Y24" s="10">
        <f t="shared" si="111"/>
        <v>5.9211687074349817E-2</v>
      </c>
      <c r="Z24" s="10">
        <f t="shared" si="111"/>
        <v>1.3429759659525072E-3</v>
      </c>
      <c r="AC24" s="10">
        <f t="shared" ref="AC24:AT24" si="112">AC15/AC3</f>
        <v>0.12274396361121655</v>
      </c>
      <c r="AD24" s="10">
        <f t="shared" si="112"/>
        <v>6.4784623305302935E-2</v>
      </c>
      <c r="AE24" s="10">
        <f t="shared" si="112"/>
        <v>4.5482097242065977E-2</v>
      </c>
      <c r="AF24" s="10">
        <f t="shared" si="112"/>
        <v>0.11712746373017616</v>
      </c>
      <c r="AG24" s="10">
        <f t="shared" si="112"/>
        <v>1.0213132400430555E-2</v>
      </c>
      <c r="AH24" s="10">
        <f t="shared" si="112"/>
        <v>-9.2666456234994671E-2</v>
      </c>
      <c r="AI24" s="10">
        <f t="shared" si="112"/>
        <v>1.5681358390739919E-2</v>
      </c>
      <c r="AJ24" s="10">
        <f t="shared" si="112"/>
        <v>2.1364500247217505E-2</v>
      </c>
      <c r="AK24" s="10">
        <f t="shared" si="112"/>
        <v>2.4680385119530589E-2</v>
      </c>
      <c r="AL24" s="10">
        <f t="shared" si="112"/>
        <v>3.1308013840916492E-2</v>
      </c>
      <c r="AM24" s="10">
        <f t="shared" si="112"/>
        <v>3.7480207598540531E-2</v>
      </c>
      <c r="AN24" s="10">
        <f t="shared" si="112"/>
        <v>4.3232671853869059E-2</v>
      </c>
      <c r="AO24" s="10">
        <f t="shared" si="112"/>
        <v>4.4664694755238238E-2</v>
      </c>
      <c r="AP24" s="10">
        <f t="shared" si="112"/>
        <v>4.5804977211002643E-2</v>
      </c>
      <c r="AQ24" s="10">
        <f t="shared" si="112"/>
        <v>4.6769880800602591E-2</v>
      </c>
      <c r="AR24" s="10">
        <f t="shared" si="112"/>
        <v>4.7594978052348066E-2</v>
      </c>
      <c r="AS24" s="10">
        <f t="shared" si="112"/>
        <v>4.8307546991254953E-2</v>
      </c>
      <c r="AT24" s="10">
        <f t="shared" si="112"/>
        <v>4.8929231595532953E-2</v>
      </c>
      <c r="AV24" t="s">
        <v>44</v>
      </c>
      <c r="AW24" s="5">
        <f>Main!D8</f>
        <v>-3278.4999999999995</v>
      </c>
    </row>
    <row r="25" spans="2:49" x14ac:dyDescent="0.3">
      <c r="AV25" t="s">
        <v>43</v>
      </c>
      <c r="AW25" s="5">
        <f>AW23+AW24</f>
        <v>1802.1027896089977</v>
      </c>
    </row>
    <row r="26" spans="2:49" x14ac:dyDescent="0.3">
      <c r="AV26" t="s">
        <v>45</v>
      </c>
      <c r="AW26" s="6">
        <f>AW25/AO16</f>
        <v>4.6007219545800302</v>
      </c>
    </row>
    <row r="27" spans="2:49" x14ac:dyDescent="0.3">
      <c r="AV27" t="s">
        <v>46</v>
      </c>
      <c r="AW27" s="6">
        <f>Main!D3</f>
        <v>11.54</v>
      </c>
    </row>
    <row r="28" spans="2:49" x14ac:dyDescent="0.3">
      <c r="AV28" s="1" t="s">
        <v>47</v>
      </c>
      <c r="AW28" s="11">
        <f>AW26/AW27-1</f>
        <v>-0.6013239207469645</v>
      </c>
    </row>
    <row r="29" spans="2:49" x14ac:dyDescent="0.3">
      <c r="AV29" t="s">
        <v>48</v>
      </c>
      <c r="AW29" s="7" t="s">
        <v>63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2021-02-28T17:01:23Z</dcterms:created>
  <dcterms:modified xsi:type="dcterms:W3CDTF">2025-04-25T10:50:22Z</dcterms:modified>
</cp:coreProperties>
</file>